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898" firstSheet="9" activeTab="9"/>
  </bookViews>
  <sheets>
    <sheet name="comp.fiducol" sheetId="1" state="hidden" r:id="rId1"/>
    <sheet name="COMPENSACION" sheetId="2" state="hidden" r:id="rId2"/>
    <sheet name="0000000000000" sheetId="3" state="veryHidden" r:id="rId3"/>
    <sheet name="sol.fiducol" sheetId="4" state="hidden" r:id="rId4"/>
    <sheet name="SOLIDARIDAD" sheetId="5" state="hidden" r:id="rId5"/>
    <sheet name="ECAT_" sheetId="6" state="hidden" r:id="rId6"/>
    <sheet name="ecat.fiducol" sheetId="7" state="hidden" r:id="rId7"/>
    <sheet name="prom.fiducol" sheetId="8" state="hidden" r:id="rId8"/>
    <sheet name="PROMOCION" sheetId="9" state="hidden" r:id="rId9"/>
    <sheet name="ADRES RENTABILIDAD" sheetId="10" r:id="rId10"/>
  </sheets>
  <definedNames>
    <definedName name="_xlnm.Print_Area" localSheetId="0">'comp.fiducol'!$A$1:$C$71</definedName>
    <definedName name="_xlnm.Print_Area" localSheetId="1">'COMPENSACION'!#REF!</definedName>
    <definedName name="_xlnm.Print_Area" localSheetId="6">'ecat.fiducol'!$A$1:$C$69</definedName>
    <definedName name="_xlnm.Print_Area" localSheetId="5">'ECAT_'!#REF!</definedName>
    <definedName name="_xlnm.Print_Area" localSheetId="7">'prom.fiducol'!$A$1:$C$70</definedName>
    <definedName name="_xlnm.Print_Area" localSheetId="3">'sol.fiducol'!$A$1:$C$74</definedName>
    <definedName name="_xlnm.Print_Area" localSheetId="4">'SOLIDARIDAD'!$A$1:$C$85</definedName>
    <definedName name="dj">#REF!</definedName>
    <definedName name="EMISOR">#REF!</definedName>
    <definedName name="F._COMPRA">#REF!</definedName>
    <definedName name="Index_Vencido">#REF!</definedName>
    <definedName name="TES">#REF!</definedName>
  </definedNames>
  <calcPr fullCalcOnLoad="1"/>
</workbook>
</file>

<file path=xl/sharedStrings.xml><?xml version="1.0" encoding="utf-8"?>
<sst xmlns="http://schemas.openxmlformats.org/spreadsheetml/2006/main" count="589" uniqueCount="239">
  <si>
    <t>SUBCUENTA COMPENSACION</t>
  </si>
  <si>
    <t>PORTAFOLIO ADMINISTRADO POR FIDUCOLOMBIA A NOVIEMBRE DE 2.000</t>
  </si>
  <si>
    <t>COMPOSICION POR EMISORES</t>
  </si>
  <si>
    <t>Emisor</t>
  </si>
  <si>
    <t>Valor Presente</t>
  </si>
  <si>
    <t>Participación</t>
  </si>
  <si>
    <t xml:space="preserve">BANCO DE BOGOTA                    </t>
  </si>
  <si>
    <t xml:space="preserve">TESORERIA GENERAL DE LA NACION        </t>
  </si>
  <si>
    <t xml:space="preserve">BANCO SANTANDER                    </t>
  </si>
  <si>
    <t xml:space="preserve">BANCO SANTANDER                       </t>
  </si>
  <si>
    <t xml:space="preserve">CITIBANK                           </t>
  </si>
  <si>
    <t xml:space="preserve">CITIBANK                              </t>
  </si>
  <si>
    <t xml:space="preserve">BANCO GANADERO                     </t>
  </si>
  <si>
    <t xml:space="preserve">BANCO GANADERO                        </t>
  </si>
  <si>
    <t xml:space="preserve">BANCO DE CREDITO                   </t>
  </si>
  <si>
    <t xml:space="preserve">BANCO DE CREDITO                      </t>
  </si>
  <si>
    <t xml:space="preserve">BANCO DAVIVIENDA                   </t>
  </si>
  <si>
    <t xml:space="preserve">BANCO DE OCCIDENTE                    </t>
  </si>
  <si>
    <t>BANCO DE OCCIDENTE</t>
  </si>
  <si>
    <t xml:space="preserve">BANCOLDEX                             </t>
  </si>
  <si>
    <t>BANCOLDEX</t>
  </si>
  <si>
    <t xml:space="preserve">BANK BOSTON                           </t>
  </si>
  <si>
    <t>BANK BOSTON</t>
  </si>
  <si>
    <t xml:space="preserve">CORPORACION FINANCIERA DEL VALLE      </t>
  </si>
  <si>
    <t>SUBTOTAL BANCOS</t>
  </si>
  <si>
    <t xml:space="preserve">CORPORACION FINANCIERA SURAMERICANA   </t>
  </si>
  <si>
    <t xml:space="preserve">COLMENA CAV                        </t>
  </si>
  <si>
    <t xml:space="preserve">COLMENA CAV                           </t>
  </si>
  <si>
    <t xml:space="preserve">CONAVI CAV                         </t>
  </si>
  <si>
    <t xml:space="preserve">CONAVI CAV                            </t>
  </si>
  <si>
    <t>SUBTOTAL C.A.V.</t>
  </si>
  <si>
    <t xml:space="preserve">INSTITUTO DE FOMENTO INDUSTRIAL IFI   </t>
  </si>
  <si>
    <t>CORPORACION FINANCIERA DEL VALLE</t>
  </si>
  <si>
    <t xml:space="preserve">FINANCIERA ENERGETICA NACIONAL        </t>
  </si>
  <si>
    <t>CORPORACION FINANCIERA SURAMERICANA</t>
  </si>
  <si>
    <t xml:space="preserve"> INSTITUTO DE FOMENTO INDUSTRIAL IFI</t>
  </si>
  <si>
    <t>SUBTOTAL CORPORACIONES FINANCIERAS</t>
  </si>
  <si>
    <t>FINANCIERA ENERGETICA NACIONAL</t>
  </si>
  <si>
    <t>FINAGRO</t>
  </si>
  <si>
    <t xml:space="preserve">TESORERIA GENERAL DE LA NACION      </t>
  </si>
  <si>
    <t xml:space="preserve">BANCO DE LA REPUBLICA                   </t>
  </si>
  <si>
    <t>TOTAL</t>
  </si>
  <si>
    <t>CUENTAS DE AHORRO</t>
  </si>
  <si>
    <t>ENTIDAD</t>
  </si>
  <si>
    <t>VALOR PRESENTE</t>
  </si>
  <si>
    <t>PARTICIPACION</t>
  </si>
  <si>
    <t>CITIBANK</t>
  </si>
  <si>
    <t>C.A.V. CONAVI</t>
  </si>
  <si>
    <t>BANCOLOMBIA</t>
  </si>
  <si>
    <t>Total</t>
  </si>
  <si>
    <t>COMPOSICION POR TITULO</t>
  </si>
  <si>
    <t>Clase</t>
  </si>
  <si>
    <t>CDT</t>
  </si>
  <si>
    <t xml:space="preserve">BONOS              </t>
  </si>
  <si>
    <t>CEV</t>
  </si>
  <si>
    <t>TES</t>
  </si>
  <si>
    <t>REPO ACTIVO</t>
  </si>
  <si>
    <t>COMPOSICION POR PLAZOS</t>
  </si>
  <si>
    <t>Dias al Vencimiento</t>
  </si>
  <si>
    <t xml:space="preserve">  Vista            </t>
  </si>
  <si>
    <t xml:space="preserve">  0 a 30 días      </t>
  </si>
  <si>
    <t xml:space="preserve"> 30 a 60 días      </t>
  </si>
  <si>
    <t xml:space="preserve">  61 a 90 días     </t>
  </si>
  <si>
    <t xml:space="preserve">  91 a 180 días    </t>
  </si>
  <si>
    <t xml:space="preserve">  181 a 270 días   </t>
  </si>
  <si>
    <t xml:space="preserve">  271 a 360 días   </t>
  </si>
  <si>
    <t xml:space="preserve">  Más de 360 días  </t>
  </si>
  <si>
    <t>SUBTOTAL</t>
  </si>
  <si>
    <t>CONSORCIO FIDUCIARIO FIDUSALUD</t>
  </si>
  <si>
    <t>PORTAFOLIO ADMINISTRADO POR FIDUAGRARIA S.A.  A  NOVIEMBRE 30/2000</t>
  </si>
  <si>
    <t>COMPOSICION POR EMISOR</t>
  </si>
  <si>
    <t>Valor presente</t>
  </si>
  <si>
    <t xml:space="preserve">ABN-AMROBANK </t>
  </si>
  <si>
    <t>Bancoldex</t>
  </si>
  <si>
    <t>Banco de Bogotá</t>
  </si>
  <si>
    <t>Banco de Crédito</t>
  </si>
  <si>
    <t>Banco Santander</t>
  </si>
  <si>
    <t>Banco Popular</t>
  </si>
  <si>
    <t>Banco Ganadero</t>
  </si>
  <si>
    <t>Bancolombia</t>
  </si>
  <si>
    <t>Banco de Occidente</t>
  </si>
  <si>
    <t>Banco Citibank</t>
  </si>
  <si>
    <t>Banco Davivienda</t>
  </si>
  <si>
    <t>C.A.V. Colpatria</t>
  </si>
  <si>
    <t>C.A.V. Conavi</t>
  </si>
  <si>
    <t>C.A.V. Villas</t>
  </si>
  <si>
    <t>C.A.V. Colmena</t>
  </si>
  <si>
    <t>C.A.V. Concasa</t>
  </si>
  <si>
    <t>Fen</t>
  </si>
  <si>
    <t>Instituto de Fto Industrial</t>
  </si>
  <si>
    <t>Corfinsura</t>
  </si>
  <si>
    <t>Corficol</t>
  </si>
  <si>
    <t>SUBTOTAL CORP.</t>
  </si>
  <si>
    <t>Finagro</t>
  </si>
  <si>
    <t>Direccion del Tesoro</t>
  </si>
  <si>
    <t>Empresa Col. de Petróleos</t>
  </si>
  <si>
    <t xml:space="preserve">                                                      CUENTAS DE AHORRO</t>
  </si>
  <si>
    <t>BANCO DE COLOMBIA</t>
  </si>
  <si>
    <t>Valor Nominal</t>
  </si>
  <si>
    <t>BONOS</t>
  </si>
  <si>
    <t>tes</t>
  </si>
  <si>
    <t>TIDIS</t>
  </si>
  <si>
    <t>cdt</t>
  </si>
  <si>
    <t>Dias al vencimiento</t>
  </si>
  <si>
    <t>Repos</t>
  </si>
  <si>
    <t>A la vista</t>
  </si>
  <si>
    <t>0 a 30 dias</t>
  </si>
  <si>
    <t>31 a 60 dias</t>
  </si>
  <si>
    <t>61 a 90 dias</t>
  </si>
  <si>
    <t>91 a 180 dias</t>
  </si>
  <si>
    <t>181 a 270 días</t>
  </si>
  <si>
    <t>271 a 360 días</t>
  </si>
  <si>
    <t>Más de 360 días</t>
  </si>
  <si>
    <t>Subtotal</t>
  </si>
  <si>
    <t>Cuentas de Ahorro</t>
  </si>
  <si>
    <t>ECOPETROL</t>
  </si>
  <si>
    <t>TOTAL GENERAL</t>
  </si>
  <si>
    <t>SUBCUENTA SOLIDARIDAD</t>
  </si>
  <si>
    <t xml:space="preserve"> BANCO DE BOGOTA                     </t>
  </si>
  <si>
    <t xml:space="preserve"> BANCO POPULAR                           </t>
  </si>
  <si>
    <t xml:space="preserve">BANCO DE BOGOTA                     </t>
  </si>
  <si>
    <t xml:space="preserve"> BANCO SANTANDER                     </t>
  </si>
  <si>
    <t xml:space="preserve">BANCO POPULAR                       </t>
  </si>
  <si>
    <t xml:space="preserve"> CITIBANK                            </t>
  </si>
  <si>
    <t xml:space="preserve">BANCO DE COLOMBIA                   </t>
  </si>
  <si>
    <t xml:space="preserve"> 15,490,124,857.79</t>
  </si>
  <si>
    <t xml:space="preserve"> BANCO GANADERO                      </t>
  </si>
  <si>
    <t xml:space="preserve">CITIBANK                            </t>
  </si>
  <si>
    <t xml:space="preserve"> BANCO DE CREDITO                    </t>
  </si>
  <si>
    <t xml:space="preserve">LLOYDS TS BANK                      </t>
  </si>
  <si>
    <t xml:space="preserve">BANCO GRANAHORRAR                    </t>
  </si>
  <si>
    <t xml:space="preserve">BANCO GANADERO                      </t>
  </si>
  <si>
    <t xml:space="preserve"> LLOYDS TSB BANK</t>
  </si>
  <si>
    <t xml:space="preserve">BANCO DE CREDITO                    </t>
  </si>
  <si>
    <t xml:space="preserve"> BANCO DE OCCIDENTE</t>
  </si>
  <si>
    <t xml:space="preserve">BANCO DE OCCIDENTE                  </t>
  </si>
  <si>
    <t xml:space="preserve"> BANCO DAVIVIENDA                    </t>
  </si>
  <si>
    <t xml:space="preserve">BANCOLDEX                           </t>
  </si>
  <si>
    <t xml:space="preserve"> BANK BOSTON</t>
  </si>
  <si>
    <t xml:space="preserve">BANK BOSTON                         </t>
  </si>
  <si>
    <t xml:space="preserve"> BANCOLDEX</t>
  </si>
  <si>
    <t xml:space="preserve">CORPORACION FINANCIERA DEL VALLE    </t>
  </si>
  <si>
    <t xml:space="preserve">BANCO GRANAHORRAR                   </t>
  </si>
  <si>
    <t xml:space="preserve">COLMENA CAV                         </t>
  </si>
  <si>
    <t xml:space="preserve">CONAVI CAV                          </t>
  </si>
  <si>
    <t xml:space="preserve"> CORPORACION FINANCIERA DEL VALLE        </t>
  </si>
  <si>
    <t xml:space="preserve">CORPORACION FINANCIERA SURAMERICANA </t>
  </si>
  <si>
    <t>INSTITUTO DE FOMENTO INDUSTRIAL IFI</t>
  </si>
  <si>
    <t xml:space="preserve">FINAGRO        </t>
  </si>
  <si>
    <t>TESORERIA GENERAL DE LA NACION</t>
  </si>
  <si>
    <t>BANCO DE LA REPUBLICA</t>
  </si>
  <si>
    <t xml:space="preserve">CDT    </t>
  </si>
  <si>
    <t xml:space="preserve">BONOS                         </t>
  </si>
  <si>
    <t xml:space="preserve">CEDULAS </t>
  </si>
  <si>
    <t>Banco de Boston</t>
  </si>
  <si>
    <t>Banco Anglo Colombiano</t>
  </si>
  <si>
    <t>LLOYS TS BANK</t>
  </si>
  <si>
    <t>Banco Bogota</t>
  </si>
  <si>
    <t>C.A.V Conavi</t>
  </si>
  <si>
    <t>CONAVI</t>
  </si>
  <si>
    <t>Corfivalle</t>
  </si>
  <si>
    <t>bonos</t>
  </si>
  <si>
    <t>SUBCUENTA ECAT</t>
  </si>
  <si>
    <t>Banco Credito</t>
  </si>
  <si>
    <t>Banco de Bogota</t>
  </si>
  <si>
    <t>ABN AMRO BANK</t>
  </si>
  <si>
    <t xml:space="preserve"> BANCO SANTANDER       </t>
  </si>
  <si>
    <t xml:space="preserve">BANCO DE COLOMBIA                       </t>
  </si>
  <si>
    <t xml:space="preserve">  4,512,150,471.57</t>
  </si>
  <si>
    <t xml:space="preserve"> CITIBANK                           </t>
  </si>
  <si>
    <t xml:space="preserve">BANCO GANADERO                          </t>
  </si>
  <si>
    <t xml:space="preserve"> BANCO GANADERO                     </t>
  </si>
  <si>
    <t xml:space="preserve">BANCO DE CREDITO                        </t>
  </si>
  <si>
    <t xml:space="preserve"> BANCO DE CREDITO                   </t>
  </si>
  <si>
    <t xml:space="preserve">BANCO DE OCCIDENTE                      </t>
  </si>
  <si>
    <t xml:space="preserve">BANCOLDEX                               </t>
  </si>
  <si>
    <t xml:space="preserve"> BANK OF AMERICA                              </t>
  </si>
  <si>
    <t xml:space="preserve">BANK BOSTON                             </t>
  </si>
  <si>
    <t xml:space="preserve">CORPORACION FINANCIERA SURAMERICANA     </t>
  </si>
  <si>
    <t xml:space="preserve">COLMENA CAV                             </t>
  </si>
  <si>
    <t xml:space="preserve">CONAVI CAV                              </t>
  </si>
  <si>
    <t xml:space="preserve">COLMENA CAV   </t>
  </si>
  <si>
    <t xml:space="preserve">INSTITUTO DE FOMENTO INDUSTRIAL IFI     </t>
  </si>
  <si>
    <t>CONAVI CAV</t>
  </si>
  <si>
    <t xml:space="preserve">FINANCIERA ENERGETICA NACIONAL          </t>
  </si>
  <si>
    <t xml:space="preserve"> INSTITUTO DE FOMENTO INDUSTRIAL IFI     </t>
  </si>
  <si>
    <t xml:space="preserve">FINANCIERA ENERGETICA NACIONAL         </t>
  </si>
  <si>
    <t xml:space="preserve">BANCO DE LA REPUBLICA                 </t>
  </si>
  <si>
    <t xml:space="preserve">BONOS                </t>
  </si>
  <si>
    <t xml:space="preserve">  Vista          </t>
  </si>
  <si>
    <t xml:space="preserve"> 0 a 30 días      </t>
  </si>
  <si>
    <t xml:space="preserve">30 a 60 días      </t>
  </si>
  <si>
    <t xml:space="preserve"> 61 a 90 días     </t>
  </si>
  <si>
    <t xml:space="preserve"> 91 a 180 días    </t>
  </si>
  <si>
    <t xml:space="preserve"> 181 a 270 días   </t>
  </si>
  <si>
    <t xml:space="preserve"> Más de 360 días  </t>
  </si>
  <si>
    <t>SUBCUENTA PROMOCION</t>
  </si>
  <si>
    <t xml:space="preserve"> BANCO DE BOGOTA                    </t>
  </si>
  <si>
    <t xml:space="preserve"> BANCO SANTANDER</t>
  </si>
  <si>
    <t xml:space="preserve"> BANCO DE CREDITO</t>
  </si>
  <si>
    <t xml:space="preserve">BANK OF AMERICA                     </t>
  </si>
  <si>
    <t xml:space="preserve">BANK OF AMERICA                            </t>
  </si>
  <si>
    <t xml:space="preserve"> CONAVI CAV                         </t>
  </si>
  <si>
    <t xml:space="preserve"> CORPORACION FINANCIERA SURAMERICANA</t>
  </si>
  <si>
    <t xml:space="preserve"> INSITUTO  DE FOMENTO INDUSTRIAL</t>
  </si>
  <si>
    <t xml:space="preserve"> FINAGRO</t>
  </si>
  <si>
    <t xml:space="preserve"> FINANCIERA ENERGETICA NACIONAL      </t>
  </si>
  <si>
    <t xml:space="preserve"> ECOPETROL</t>
  </si>
  <si>
    <t xml:space="preserve"> TESORERIA GENERAL DE LA NACION     </t>
  </si>
  <si>
    <t xml:space="preserve">BANCO DE LA REPUBLICA  </t>
  </si>
  <si>
    <t xml:space="preserve"> CDT</t>
  </si>
  <si>
    <t xml:space="preserve"> BONOS                </t>
  </si>
  <si>
    <t xml:space="preserve"> TES CLASE B </t>
  </si>
  <si>
    <t xml:space="preserve"> CEV</t>
  </si>
  <si>
    <t xml:space="preserve"> REPO ACTIVO</t>
  </si>
  <si>
    <t xml:space="preserve"> Vista            </t>
  </si>
  <si>
    <t xml:space="preserve">  0 a 30 días     </t>
  </si>
  <si>
    <t xml:space="preserve"> 30 a 60 días     </t>
  </si>
  <si>
    <t xml:space="preserve">  61 a 90 días    </t>
  </si>
  <si>
    <t xml:space="preserve">  91 a 180 días   </t>
  </si>
  <si>
    <t xml:space="preserve">  181 a 270 días  </t>
  </si>
  <si>
    <t xml:space="preserve">  Más de 360 días </t>
  </si>
  <si>
    <t>Banco Occidente</t>
  </si>
  <si>
    <t>Banco Caja Social</t>
  </si>
  <si>
    <t>Citibank</t>
  </si>
  <si>
    <t>LLOYDS TS BANK</t>
  </si>
  <si>
    <t>Banco de Credito</t>
  </si>
  <si>
    <t>C,A,V Colpatria</t>
  </si>
  <si>
    <t>FEN</t>
  </si>
  <si>
    <t>CORFINSURA</t>
  </si>
  <si>
    <t>91 a 180 días</t>
  </si>
  <si>
    <t>181 a 270 dias</t>
  </si>
  <si>
    <t>271 a 360 dias</t>
  </si>
  <si>
    <t>Mas de 360</t>
  </si>
  <si>
    <t>Cuentas de Ahorros</t>
  </si>
  <si>
    <t>Mes</t>
  </si>
  <si>
    <t>Rendimientos ponderados promedio mensual entidad</t>
  </si>
  <si>
    <t>14.21%</t>
  </si>
  <si>
    <t>14.39%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</si>
</sst>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 * #,##0.00_ ;_ * \-#,##0.00_ ;_ * &quot;-&quot;??_ ;_ @_ "/>
    <numFmt numFmtId="175" formatCode="_(&quot;C$&quot;* #,##0.00_);_(&quot;C$&quot;* \(#,##0.00\);_(&quot;C$&quot;* &quot;-&quot;??_);_(@_)"/>
    <numFmt numFmtId="176" formatCode="#,##0.0000"/>
    <numFmt numFmtId="177" formatCode="&quot;$&quot;#,##0.00"/>
    <numFmt numFmtId="178" formatCode="_-* #,##0.00\ _P_t_a_-;\-* #,##0.00\ _P_t_a_-;_-* &quot;-&quot;??\ _P_t_a_-;_-@_-"/>
    <numFmt numFmtId="179" formatCode="#,##0.0_ ;[Red]\-#,##0.0\ "/>
    <numFmt numFmtId="180" formatCode="mmm\ /\ yyyy"/>
    <numFmt numFmtId="181" formatCode="#,##0_ ;[Red]\-#,##0\ "/>
    <numFmt numFmtId="182" formatCode="0.0%"/>
    <numFmt numFmtId="183" formatCode="#,##0.0_);[Red]\(#,##0.0\)"/>
    <numFmt numFmtId="184" formatCode="#,##0.00_ ;[Red]\-#,##0.00\ "/>
    <numFmt numFmtId="185" formatCode="mmm\ d/yyyy"/>
    <numFmt numFmtId="186" formatCode="_([$€]* #,##0.00_);_([$€]* \(#,##0.00\);_([$€]* &quot;-&quot;??_);_(@_)"/>
    <numFmt numFmtId="187" formatCode="#,##0.0"/>
    <numFmt numFmtId="188" formatCode="#,##0.00;[Red]#,##0.00"/>
    <numFmt numFmtId="189" formatCode="#,##0.000000000000;[Red]#,##0.000000000000"/>
    <numFmt numFmtId="190" formatCode="#,##0.000000000;[Red]#,##0.000000000"/>
    <numFmt numFmtId="191" formatCode="0.0000"/>
    <numFmt numFmtId="192" formatCode="&quot;$&quot;\ #,##0.00;[Red]&quot;$&quot;\ \-#,##0.00"/>
    <numFmt numFmtId="193" formatCode="_ &quot;$&quot;\ * #,##0.00_ ;_ &quot;$&quot;\ * \-#,##0.00_ ;_ &quot;$&quot;\ * &quot;-&quot;??_ ;_ @_ "/>
    <numFmt numFmtId="194" formatCode="_-* #,##0.00\ _P_t_s_-;\-* #,##0.00\ _P_t_s_-;_-* &quot;-&quot;??\ _P_t_s_-;_-@_-"/>
    <numFmt numFmtId="195" formatCode="_ [$€-2]\ * #,##0.00_ ;_ [$€-2]\ * \-#,##0.00_ ;_ [$€-2]\ * &quot;-&quot;??_ "/>
    <numFmt numFmtId="196" formatCode="mmm\-yyyy"/>
    <numFmt numFmtId="197" formatCode="#,##0.0;[Red]#,##0.0"/>
    <numFmt numFmtId="198" formatCode="&quot;$&quot;\ #,##0"/>
    <numFmt numFmtId="199" formatCode="&quot;$&quot;\ #,##0.00"/>
    <numFmt numFmtId="200" formatCode="d/mm/yyyy;@"/>
    <numFmt numFmtId="201" formatCode="dd/mm/yyyy;@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80">
    <font>
      <sz val="10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Arial"/>
      <family val="2"/>
    </font>
    <font>
      <b/>
      <sz val="9"/>
      <color indexed="52"/>
      <name val="Arial"/>
      <family val="2"/>
    </font>
    <font>
      <b/>
      <sz val="11"/>
      <color indexed="52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Calibri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9"/>
      <color indexed="62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20"/>
      <name val="Arial"/>
      <family val="2"/>
    </font>
    <font>
      <sz val="11"/>
      <color indexed="20"/>
      <name val="Calibri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b/>
      <sz val="9"/>
      <color indexed="63"/>
      <name val="Arial"/>
      <family val="2"/>
    </font>
    <font>
      <b/>
      <sz val="11"/>
      <color indexed="63"/>
      <name val="Calibri"/>
      <family val="2"/>
    </font>
    <font>
      <sz val="9"/>
      <color indexed="10"/>
      <name val="Arial"/>
      <family val="2"/>
    </font>
    <font>
      <sz val="11"/>
      <color indexed="10"/>
      <name val="Calibri"/>
      <family val="2"/>
    </font>
    <font>
      <i/>
      <sz val="9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9"/>
      <color theme="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11"/>
      <color rgb="FFFA7D0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  <font>
      <sz val="9"/>
      <color rgb="FFFA7D00"/>
      <name val="Arial"/>
      <family val="2"/>
    </font>
    <font>
      <sz val="11"/>
      <color rgb="FFFA7D00"/>
      <name val="Calibri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9"/>
      <color rgb="FF3F3F76"/>
      <name val="Arial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9"/>
      <color rgb="FF9C0006"/>
      <name val="Arial"/>
      <family val="2"/>
    </font>
    <font>
      <sz val="11"/>
      <color rgb="FF9C0006"/>
      <name val="Calibri"/>
      <family val="2"/>
    </font>
    <font>
      <sz val="9"/>
      <color rgb="FF9C6500"/>
      <name val="Arial"/>
      <family val="2"/>
    </font>
    <font>
      <sz val="11"/>
      <color rgb="FF9C6500"/>
      <name val="Calibri"/>
      <family val="2"/>
    </font>
    <font>
      <b/>
      <sz val="9"/>
      <color rgb="FF3F3F3F"/>
      <name val="Arial"/>
      <family val="2"/>
    </font>
    <font>
      <b/>
      <sz val="11"/>
      <color rgb="FF3F3F3F"/>
      <name val="Calibri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</font>
    <font>
      <i/>
      <sz val="9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b/>
      <sz val="8"/>
      <color rgb="FFFFFFFF"/>
      <name val="Arial Narrow"/>
      <family val="2"/>
    </font>
    <font>
      <sz val="8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F497D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2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59" fillId="29" borderId="1" applyNumberFormat="0" applyAlignment="0" applyProtection="0"/>
    <xf numFmtId="0" fontId="60" fillId="29" borderId="1" applyNumberFormat="0" applyAlignment="0" applyProtection="0"/>
    <xf numFmtId="17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9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74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174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0" fontId="45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</cellStyleXfs>
  <cellXfs count="222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0" fontId="0" fillId="0" borderId="11" xfId="224" applyNumberFormat="1" applyBorder="1" applyAlignment="1">
      <alignment/>
    </xf>
    <xf numFmtId="10" fontId="0" fillId="0" borderId="12" xfId="224" applyNumberForma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10" fontId="3" fillId="0" borderId="10" xfId="224" applyNumberFormat="1" applyFont="1" applyBorder="1" applyAlignment="1">
      <alignment/>
    </xf>
    <xf numFmtId="4" fontId="0" fillId="0" borderId="0" xfId="0" applyNumberFormat="1" applyAlignment="1">
      <alignment horizontal="centerContinuous"/>
    </xf>
    <xf numFmtId="0" fontId="3" fillId="0" borderId="11" xfId="0" applyFont="1" applyBorder="1" applyAlignment="1">
      <alignment/>
    </xf>
    <xf numFmtId="4" fontId="0" fillId="0" borderId="0" xfId="0" applyNumberFormat="1" applyBorder="1" applyAlignment="1">
      <alignment/>
    </xf>
    <xf numFmtId="10" fontId="0" fillId="0" borderId="0" xfId="224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10" fontId="3" fillId="0" borderId="10" xfId="224" applyNumberFormat="1" applyFont="1" applyBorder="1" applyAlignment="1">
      <alignment/>
    </xf>
    <xf numFmtId="0" fontId="2" fillId="0" borderId="0" xfId="0" applyFont="1" applyAlignment="1">
      <alignment horizontal="centerContinuous"/>
    </xf>
    <xf numFmtId="171" fontId="3" fillId="0" borderId="0" xfId="102" applyFont="1" applyBorder="1" applyAlignment="1">
      <alignment/>
    </xf>
    <xf numFmtId="0" fontId="3" fillId="0" borderId="0" xfId="0" applyFont="1" applyBorder="1" applyAlignment="1">
      <alignment horizontal="left"/>
    </xf>
    <xf numFmtId="171" fontId="3" fillId="0" borderId="10" xfId="102" applyFont="1" applyBorder="1" applyAlignment="1">
      <alignment/>
    </xf>
    <xf numFmtId="0" fontId="6" fillId="0" borderId="0" xfId="0" applyFont="1" applyAlignment="1">
      <alignment horizontal="centerContinuous"/>
    </xf>
    <xf numFmtId="171" fontId="0" fillId="0" borderId="0" xfId="102" applyAlignment="1">
      <alignment/>
    </xf>
    <xf numFmtId="43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10" fontId="0" fillId="0" borderId="12" xfId="224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0" fontId="3" fillId="0" borderId="12" xfId="224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43" fontId="7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0" fillId="0" borderId="11" xfId="0" applyNumberFormat="1" applyFont="1" applyBorder="1" applyAlignment="1">
      <alignment/>
    </xf>
    <xf numFmtId="10" fontId="0" fillId="0" borderId="16" xfId="224" applyNumberFormat="1" applyFont="1" applyBorder="1" applyAlignment="1">
      <alignment/>
    </xf>
    <xf numFmtId="0" fontId="3" fillId="0" borderId="17" xfId="0" applyFont="1" applyBorder="1" applyAlignment="1">
      <alignment/>
    </xf>
    <xf numFmtId="10" fontId="0" fillId="0" borderId="18" xfId="224" applyNumberFormat="1" applyFont="1" applyBorder="1" applyAlignment="1">
      <alignment/>
    </xf>
    <xf numFmtId="0" fontId="3" fillId="0" borderId="19" xfId="0" applyFont="1" applyBorder="1" applyAlignment="1">
      <alignment/>
    </xf>
    <xf numFmtId="4" fontId="0" fillId="0" borderId="14" xfId="0" applyNumberFormat="1" applyFont="1" applyBorder="1" applyAlignment="1">
      <alignment/>
    </xf>
    <xf numFmtId="10" fontId="0" fillId="0" borderId="20" xfId="224" applyNumberFormat="1" applyBorder="1" applyAlignment="1">
      <alignment/>
    </xf>
    <xf numFmtId="9" fontId="3" fillId="0" borderId="10" xfId="224" applyFont="1" applyBorder="1" applyAlignment="1">
      <alignment/>
    </xf>
    <xf numFmtId="171" fontId="0" fillId="0" borderId="14" xfId="102" applyBorder="1" applyAlignment="1">
      <alignment/>
    </xf>
    <xf numFmtId="10" fontId="0" fillId="0" borderId="14" xfId="224" applyNumberFormat="1" applyBorder="1" applyAlignment="1">
      <alignment/>
    </xf>
    <xf numFmtId="171" fontId="4" fillId="0" borderId="0" xfId="0" applyNumberFormat="1" applyFont="1" applyAlignment="1">
      <alignment/>
    </xf>
    <xf numFmtId="10" fontId="0" fillId="0" borderId="16" xfId="224" applyNumberFormat="1" applyFont="1" applyBorder="1" applyAlignment="1">
      <alignment/>
    </xf>
    <xf numFmtId="0" fontId="0" fillId="0" borderId="17" xfId="0" applyBorder="1" applyAlignment="1">
      <alignment/>
    </xf>
    <xf numFmtId="10" fontId="0" fillId="0" borderId="18" xfId="224" applyNumberFormat="1" applyFont="1" applyBorder="1" applyAlignment="1">
      <alignment/>
    </xf>
    <xf numFmtId="4" fontId="0" fillId="0" borderId="14" xfId="0" applyNumberFormat="1" applyBorder="1" applyAlignment="1">
      <alignment/>
    </xf>
    <xf numFmtId="10" fontId="3" fillId="0" borderId="21" xfId="224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0" fontId="0" fillId="0" borderId="21" xfId="224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0" fontId="3" fillId="0" borderId="20" xfId="224" applyNumberFormat="1" applyFont="1" applyBorder="1" applyAlignment="1">
      <alignment/>
    </xf>
    <xf numFmtId="10" fontId="3" fillId="0" borderId="12" xfId="224" applyNumberFormat="1" applyFont="1" applyBorder="1" applyAlignment="1">
      <alignment/>
    </xf>
    <xf numFmtId="171" fontId="0" fillId="0" borderId="0" xfId="102" applyAlignment="1">
      <alignment horizontal="centerContinuous"/>
    </xf>
    <xf numFmtId="171" fontId="0" fillId="0" borderId="11" xfId="102" applyBorder="1" applyAlignment="1">
      <alignment/>
    </xf>
    <xf numFmtId="10" fontId="0" fillId="0" borderId="20" xfId="224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10" fontId="0" fillId="0" borderId="18" xfId="224" applyNumberFormat="1" applyBorder="1" applyAlignment="1">
      <alignment/>
    </xf>
    <xf numFmtId="171" fontId="0" fillId="0" borderId="12" xfId="102" applyFont="1" applyBorder="1" applyAlignment="1">
      <alignment/>
    </xf>
    <xf numFmtId="9" fontId="3" fillId="0" borderId="10" xfId="224" applyFont="1" applyBorder="1" applyAlignment="1">
      <alignment/>
    </xf>
    <xf numFmtId="2" fontId="0" fillId="0" borderId="0" xfId="0" applyNumberFormat="1" applyAlignment="1">
      <alignment/>
    </xf>
    <xf numFmtId="4" fontId="3" fillId="0" borderId="12" xfId="0" applyNumberFormat="1" applyFont="1" applyBorder="1" applyAlignment="1">
      <alignment/>
    </xf>
    <xf numFmtId="9" fontId="3" fillId="0" borderId="12" xfId="224" applyFont="1" applyBorder="1" applyAlignment="1">
      <alignment/>
    </xf>
    <xf numFmtId="10" fontId="0" fillId="0" borderId="10" xfId="224" applyNumberFormat="1" applyBorder="1" applyAlignment="1">
      <alignment/>
    </xf>
    <xf numFmtId="9" fontId="3" fillId="0" borderId="14" xfId="224" applyFont="1" applyBorder="1" applyAlignment="1">
      <alignment/>
    </xf>
    <xf numFmtId="9" fontId="3" fillId="0" borderId="0" xfId="224" applyNumberFormat="1" applyFont="1" applyBorder="1" applyAlignment="1">
      <alignment/>
    </xf>
    <xf numFmtId="0" fontId="6" fillId="0" borderId="0" xfId="0" applyFont="1" applyAlignment="1">
      <alignment horizontal="centerContinuous"/>
    </xf>
    <xf numFmtId="4" fontId="7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0" fontId="0" fillId="0" borderId="11" xfId="224" applyNumberFormat="1" applyFont="1" applyBorder="1" applyAlignment="1">
      <alignment/>
    </xf>
    <xf numFmtId="10" fontId="0" fillId="0" borderId="16" xfId="224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1" xfId="0" applyNumberFormat="1" applyFont="1" applyBorder="1" applyAlignment="1">
      <alignment/>
    </xf>
    <xf numFmtId="10" fontId="0" fillId="0" borderId="11" xfId="224" applyNumberFormat="1" applyFont="1" applyBorder="1" applyAlignment="1">
      <alignment/>
    </xf>
    <xf numFmtId="0" fontId="0" fillId="0" borderId="17" xfId="0" applyFont="1" applyBorder="1" applyAlignment="1">
      <alignment/>
    </xf>
    <xf numFmtId="10" fontId="0" fillId="0" borderId="12" xfId="224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10" fontId="0" fillId="0" borderId="14" xfId="224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224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0" xfId="102" applyNumberForma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171" fontId="0" fillId="0" borderId="26" xfId="102" applyBorder="1" applyAlignment="1">
      <alignment/>
    </xf>
    <xf numFmtId="10" fontId="0" fillId="0" borderId="16" xfId="224" applyNumberFormat="1" applyBorder="1" applyAlignment="1">
      <alignment horizontal="center"/>
    </xf>
    <xf numFmtId="10" fontId="0" fillId="0" borderId="0" xfId="224" applyNumberFormat="1" applyBorder="1" applyAlignment="1">
      <alignment horizontal="center"/>
    </xf>
    <xf numFmtId="0" fontId="3" fillId="0" borderId="27" xfId="0" applyFont="1" applyBorder="1" applyAlignment="1">
      <alignment/>
    </xf>
    <xf numFmtId="4" fontId="0" fillId="0" borderId="28" xfId="0" applyNumberFormat="1" applyBorder="1" applyAlignment="1">
      <alignment/>
    </xf>
    <xf numFmtId="10" fontId="0" fillId="0" borderId="18" xfId="224" applyNumberFormat="1" applyBorder="1" applyAlignment="1">
      <alignment horizontal="center"/>
    </xf>
    <xf numFmtId="171" fontId="0" fillId="0" borderId="28" xfId="102" applyBorder="1" applyAlignment="1">
      <alignment/>
    </xf>
    <xf numFmtId="0" fontId="3" fillId="0" borderId="29" xfId="0" applyFont="1" applyBorder="1" applyAlignment="1">
      <alignment horizontal="left"/>
    </xf>
    <xf numFmtId="171" fontId="0" fillId="0" borderId="30" xfId="102" applyBorder="1" applyAlignment="1">
      <alignment/>
    </xf>
    <xf numFmtId="10" fontId="0" fillId="0" borderId="20" xfId="224" applyNumberFormat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171" fontId="3" fillId="0" borderId="31" xfId="102" applyFont="1" applyFill="1" applyBorder="1" applyAlignment="1">
      <alignment/>
    </xf>
    <xf numFmtId="10" fontId="3" fillId="0" borderId="20" xfId="224" applyNumberFormat="1" applyFont="1" applyFill="1" applyBorder="1" applyAlignment="1">
      <alignment horizontal="centerContinuous"/>
    </xf>
    <xf numFmtId="4" fontId="3" fillId="0" borderId="0" xfId="102" applyNumberFormat="1" applyFont="1" applyAlignment="1">
      <alignment/>
    </xf>
    <xf numFmtId="10" fontId="0" fillId="0" borderId="32" xfId="224" applyNumberFormat="1" applyBorder="1" applyAlignment="1">
      <alignment horizontal="center"/>
    </xf>
    <xf numFmtId="10" fontId="0" fillId="0" borderId="21" xfId="224" applyNumberFormat="1" applyBorder="1" applyAlignment="1">
      <alignment horizontal="center"/>
    </xf>
    <xf numFmtId="0" fontId="3" fillId="0" borderId="23" xfId="0" applyFont="1" applyBorder="1" applyAlignment="1">
      <alignment horizontal="left"/>
    </xf>
    <xf numFmtId="171" fontId="0" fillId="0" borderId="33" xfId="102" applyBorder="1" applyAlignment="1">
      <alignment/>
    </xf>
    <xf numFmtId="171" fontId="0" fillId="0" borderId="31" xfId="102" applyBorder="1" applyAlignment="1">
      <alignment/>
    </xf>
    <xf numFmtId="0" fontId="3" fillId="0" borderId="23" xfId="0" applyFont="1" applyFill="1" applyBorder="1" applyAlignment="1">
      <alignment horizontal="left"/>
    </xf>
    <xf numFmtId="171" fontId="3" fillId="0" borderId="24" xfId="102" applyFont="1" applyFill="1" applyBorder="1" applyAlignment="1">
      <alignment/>
    </xf>
    <xf numFmtId="10" fontId="3" fillId="0" borderId="21" xfId="224" applyNumberFormat="1" applyFont="1" applyFill="1" applyBorder="1" applyAlignment="1">
      <alignment horizontal="center"/>
    </xf>
    <xf numFmtId="171" fontId="0" fillId="0" borderId="34" xfId="102" applyBorder="1" applyAlignment="1">
      <alignment/>
    </xf>
    <xf numFmtId="171" fontId="0" fillId="0" borderId="35" xfId="102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10" fontId="3" fillId="0" borderId="20" xfId="22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1" fontId="3" fillId="0" borderId="0" xfId="102" applyFont="1" applyFill="1" applyBorder="1" applyAlignment="1">
      <alignment/>
    </xf>
    <xf numFmtId="10" fontId="3" fillId="0" borderId="0" xfId="224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171" fontId="3" fillId="0" borderId="33" xfId="102" applyFont="1" applyFill="1" applyBorder="1" applyAlignment="1">
      <alignment/>
    </xf>
    <xf numFmtId="10" fontId="3" fillId="0" borderId="13" xfId="224" applyNumberFormat="1" applyFont="1" applyFill="1" applyBorder="1" applyAlignment="1">
      <alignment horizontal="center"/>
    </xf>
    <xf numFmtId="171" fontId="3" fillId="0" borderId="33" xfId="102" applyFont="1" applyBorder="1" applyAlignment="1">
      <alignment/>
    </xf>
    <xf numFmtId="10" fontId="3" fillId="0" borderId="0" xfId="224" applyNumberFormat="1" applyFont="1" applyBorder="1" applyAlignment="1">
      <alignment horizontal="center"/>
    </xf>
    <xf numFmtId="171" fontId="3" fillId="0" borderId="33" xfId="102" applyFont="1" applyBorder="1" applyAlignment="1">
      <alignment/>
    </xf>
    <xf numFmtId="10" fontId="3" fillId="0" borderId="21" xfId="224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Continuous"/>
    </xf>
    <xf numFmtId="171" fontId="3" fillId="33" borderId="24" xfId="0" applyNumberFormat="1" applyFont="1" applyFill="1" applyBorder="1" applyAlignment="1">
      <alignment/>
    </xf>
    <xf numFmtId="10" fontId="3" fillId="33" borderId="21" xfId="224" applyNumberFormat="1" applyFont="1" applyFill="1" applyBorder="1" applyAlignment="1">
      <alignment horizontal="centerContinuous"/>
    </xf>
    <xf numFmtId="10" fontId="0" fillId="0" borderId="0" xfId="224" applyNumberFormat="1" applyAlignment="1">
      <alignment horizontal="center"/>
    </xf>
    <xf numFmtId="0" fontId="3" fillId="0" borderId="23" xfId="0" applyFont="1" applyBorder="1" applyAlignment="1">
      <alignment horizontal="center"/>
    </xf>
    <xf numFmtId="178" fontId="0" fillId="0" borderId="0" xfId="0" applyNumberFormat="1" applyAlignment="1">
      <alignment/>
    </xf>
    <xf numFmtId="0" fontId="3" fillId="33" borderId="25" xfId="0" applyFont="1" applyFill="1" applyBorder="1" applyAlignment="1" quotePrefix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171" fontId="3" fillId="0" borderId="31" xfId="102" applyFont="1" applyBorder="1" applyAlignment="1">
      <alignment/>
    </xf>
    <xf numFmtId="10" fontId="3" fillId="0" borderId="20" xfId="224" applyNumberFormat="1" applyFont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7" xfId="0" applyFont="1" applyBorder="1" applyAlignment="1" quotePrefix="1">
      <alignment horizontal="left"/>
    </xf>
    <xf numFmtId="0" fontId="3" fillId="0" borderId="27" xfId="0" applyFont="1" applyBorder="1" applyAlignment="1">
      <alignment horizontal="left"/>
    </xf>
    <xf numFmtId="177" fontId="0" fillId="0" borderId="0" xfId="0" applyNumberFormat="1" applyAlignment="1">
      <alignment/>
    </xf>
    <xf numFmtId="0" fontId="3" fillId="0" borderId="22" xfId="0" applyFont="1" applyBorder="1" applyAlignment="1">
      <alignment/>
    </xf>
    <xf numFmtId="171" fontId="0" fillId="0" borderId="22" xfId="102" applyBorder="1" applyAlignment="1">
      <alignment/>
    </xf>
    <xf numFmtId="10" fontId="0" fillId="0" borderId="22" xfId="224" applyNumberFormat="1" applyBorder="1" applyAlignment="1">
      <alignment horizontal="center"/>
    </xf>
    <xf numFmtId="0" fontId="3" fillId="0" borderId="23" xfId="0" applyFont="1" applyBorder="1" applyAlignment="1">
      <alignment/>
    </xf>
    <xf numFmtId="171" fontId="3" fillId="0" borderId="24" xfId="102" applyFont="1" applyBorder="1" applyAlignment="1">
      <alignment/>
    </xf>
    <xf numFmtId="10" fontId="3" fillId="0" borderId="21" xfId="224" applyNumberFormat="1" applyFont="1" applyFill="1" applyBorder="1" applyAlignment="1">
      <alignment horizontal="centerContinuous"/>
    </xf>
    <xf numFmtId="171" fontId="3" fillId="0" borderId="0" xfId="102" applyFont="1" applyAlignment="1">
      <alignment/>
    </xf>
    <xf numFmtId="10" fontId="3" fillId="0" borderId="14" xfId="224" applyNumberFormat="1" applyFont="1" applyFill="1" applyBorder="1" applyAlignment="1">
      <alignment horizontal="center"/>
    </xf>
    <xf numFmtId="171" fontId="0" fillId="0" borderId="36" xfId="102" applyBorder="1" applyAlignment="1">
      <alignment/>
    </xf>
    <xf numFmtId="171" fontId="0" fillId="0" borderId="30" xfId="102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1" fontId="0" fillId="0" borderId="0" xfId="102" applyBorder="1" applyAlignment="1">
      <alignment horizontal="center"/>
    </xf>
    <xf numFmtId="10" fontId="0" fillId="0" borderId="11" xfId="224" applyNumberFormat="1" applyBorder="1" applyAlignment="1">
      <alignment horizontal="center"/>
    </xf>
    <xf numFmtId="171" fontId="0" fillId="0" borderId="12" xfId="102" applyBorder="1" applyAlignment="1">
      <alignment/>
    </xf>
    <xf numFmtId="10" fontId="0" fillId="0" borderId="12" xfId="224" applyNumberFormat="1" applyBorder="1" applyAlignment="1">
      <alignment horizontal="center"/>
    </xf>
    <xf numFmtId="0" fontId="3" fillId="0" borderId="14" xfId="0" applyFont="1" applyBorder="1" applyAlignment="1">
      <alignment horizontal="left"/>
    </xf>
    <xf numFmtId="10" fontId="0" fillId="0" borderId="14" xfId="224" applyNumberFormat="1" applyBorder="1" applyAlignment="1">
      <alignment horizontal="center"/>
    </xf>
    <xf numFmtId="171" fontId="0" fillId="0" borderId="35" xfId="102" applyFont="1" applyBorder="1" applyAlignment="1">
      <alignment/>
    </xf>
    <xf numFmtId="0" fontId="3" fillId="33" borderId="23" xfId="0" applyFont="1" applyFill="1" applyBorder="1" applyAlignment="1" quotePrefix="1">
      <alignment horizontal="center"/>
    </xf>
    <xf numFmtId="171" fontId="0" fillId="0" borderId="28" xfId="102" applyFont="1" applyBorder="1" applyAlignment="1">
      <alignment/>
    </xf>
    <xf numFmtId="0" fontId="3" fillId="0" borderId="17" xfId="0" applyFont="1" applyBorder="1" applyAlignment="1" quotePrefix="1">
      <alignment horizontal="left"/>
    </xf>
    <xf numFmtId="0" fontId="3" fillId="0" borderId="17" xfId="0" applyFont="1" applyBorder="1" applyAlignment="1">
      <alignment horizontal="left"/>
    </xf>
    <xf numFmtId="10" fontId="3" fillId="0" borderId="0" xfId="224" applyNumberFormat="1" applyFont="1" applyBorder="1" applyAlignment="1">
      <alignment horizontal="centerContinuous"/>
    </xf>
    <xf numFmtId="171" fontId="0" fillId="0" borderId="24" xfId="102" applyBorder="1" applyAlignment="1">
      <alignment/>
    </xf>
    <xf numFmtId="171" fontId="3" fillId="0" borderId="24" xfId="102" applyFont="1" applyBorder="1" applyAlignment="1">
      <alignment/>
    </xf>
    <xf numFmtId="171" fontId="3" fillId="0" borderId="0" xfId="102" applyFont="1" applyBorder="1" applyAlignment="1">
      <alignment/>
    </xf>
    <xf numFmtId="10" fontId="3" fillId="0" borderId="10" xfId="224" applyNumberFormat="1" applyFont="1" applyBorder="1" applyAlignment="1">
      <alignment horizontal="center"/>
    </xf>
    <xf numFmtId="4" fontId="0" fillId="0" borderId="26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26" xfId="102" applyNumberFormat="1" applyBorder="1" applyAlignment="1">
      <alignment/>
    </xf>
    <xf numFmtId="4" fontId="0" fillId="0" borderId="28" xfId="102" applyNumberFormat="1" applyBorder="1" applyAlignment="1">
      <alignment/>
    </xf>
    <xf numFmtId="0" fontId="3" fillId="33" borderId="24" xfId="0" applyFont="1" applyFill="1" applyBorder="1" applyAlignment="1">
      <alignment horizontal="centerContinuous"/>
    </xf>
    <xf numFmtId="0" fontId="3" fillId="33" borderId="21" xfId="0" applyFont="1" applyFill="1" applyBorder="1" applyAlignment="1">
      <alignment horizontal="centerContinuous"/>
    </xf>
    <xf numFmtId="4" fontId="0" fillId="0" borderId="0" xfId="102" applyNumberFormat="1" applyFont="1" applyAlignment="1">
      <alignment/>
    </xf>
    <xf numFmtId="171" fontId="0" fillId="0" borderId="28" xfId="102" applyFont="1" applyBorder="1" applyAlignment="1" quotePrefix="1">
      <alignment horizontal="left"/>
    </xf>
    <xf numFmtId="171" fontId="3" fillId="33" borderId="24" xfId="102" applyFont="1" applyFill="1" applyBorder="1" applyAlignment="1">
      <alignment/>
    </xf>
    <xf numFmtId="10" fontId="3" fillId="33" borderId="21" xfId="224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171" fontId="3" fillId="33" borderId="31" xfId="102" applyFont="1" applyFill="1" applyBorder="1" applyAlignment="1">
      <alignment/>
    </xf>
    <xf numFmtId="10" fontId="3" fillId="33" borderId="20" xfId="224" applyNumberFormat="1" applyFont="1" applyFill="1" applyBorder="1" applyAlignment="1">
      <alignment horizontal="centerContinuous"/>
    </xf>
    <xf numFmtId="171" fontId="0" fillId="0" borderId="0" xfId="102" applyBorder="1" applyAlignment="1">
      <alignment/>
    </xf>
    <xf numFmtId="0" fontId="3" fillId="33" borderId="23" xfId="0" applyFont="1" applyFill="1" applyBorder="1" applyAlignment="1">
      <alignment/>
    </xf>
    <xf numFmtId="0" fontId="78" fillId="34" borderId="37" xfId="0" applyFont="1" applyFill="1" applyBorder="1" applyAlignment="1">
      <alignment horizontal="center" vertical="center" wrapText="1"/>
    </xf>
    <xf numFmtId="0" fontId="78" fillId="34" borderId="38" xfId="0" applyFont="1" applyFill="1" applyBorder="1" applyAlignment="1">
      <alignment horizontal="center" vertical="center" wrapText="1"/>
    </xf>
    <xf numFmtId="17" fontId="79" fillId="0" borderId="39" xfId="0" applyNumberFormat="1" applyFont="1" applyBorder="1" applyAlignment="1">
      <alignment horizontal="center" vertical="center" wrapText="1"/>
    </xf>
    <xf numFmtId="10" fontId="79" fillId="0" borderId="20" xfId="0" applyNumberFormat="1" applyFont="1" applyBorder="1" applyAlignment="1">
      <alignment horizontal="center" vertical="center" wrapText="1"/>
    </xf>
  </cellXfs>
  <cellStyles count="23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ambiar to&amp;do" xfId="55"/>
    <cellStyle name="Cambiar to&amp;do 2" xfId="56"/>
    <cellStyle name="Cambiar to&amp;do 3" xfId="57"/>
    <cellStyle name="Cambiar to&amp;do 4" xfId="58"/>
    <cellStyle name="Cambiar to&amp;do 5" xfId="59"/>
    <cellStyle name="Cambiar to&amp;do 6" xfId="60"/>
    <cellStyle name="Cambiar to&amp;do 7" xfId="61"/>
    <cellStyle name="Cambiar to&amp;do 8" xfId="62"/>
    <cellStyle name="Cambiar to&amp;do 9" xfId="63"/>
    <cellStyle name="Cambiar to&amp;do_Informe DICIEMBRE DE 2010" xfId="64"/>
    <cellStyle name="Celda de comprobación" xfId="65"/>
    <cellStyle name="Celda de comprobación 2" xfId="66"/>
    <cellStyle name="Celda vinculada" xfId="67"/>
    <cellStyle name="Celda vinculada 2" xfId="68"/>
    <cellStyle name="Encabezado 1" xfId="69"/>
    <cellStyle name="Encabezado 4" xfId="70"/>
    <cellStyle name="Encabezado 4 2" xfId="71"/>
    <cellStyle name="Énfasis1" xfId="72"/>
    <cellStyle name="Énfasis1 2" xfId="73"/>
    <cellStyle name="Énfasis2" xfId="74"/>
    <cellStyle name="Énfasis2 2" xfId="75"/>
    <cellStyle name="Énfasis3" xfId="76"/>
    <cellStyle name="Énfasis3 2" xfId="77"/>
    <cellStyle name="Énfasis4" xfId="78"/>
    <cellStyle name="Énfasis4 2" xfId="79"/>
    <cellStyle name="Énfasis5" xfId="80"/>
    <cellStyle name="Énfasis5 2" xfId="81"/>
    <cellStyle name="Énfasis6" xfId="82"/>
    <cellStyle name="Énfasis6 2" xfId="83"/>
    <cellStyle name="Entrada" xfId="84"/>
    <cellStyle name="Entrada 2" xfId="85"/>
    <cellStyle name="Estilo 1" xfId="86"/>
    <cellStyle name="Euro" xfId="87"/>
    <cellStyle name="Euro 10" xfId="88"/>
    <cellStyle name="Euro 2" xfId="89"/>
    <cellStyle name="Euro 2 2" xfId="90"/>
    <cellStyle name="Euro 3" xfId="91"/>
    <cellStyle name="Euro 4" xfId="92"/>
    <cellStyle name="Euro 5" xfId="93"/>
    <cellStyle name="Euro 6" xfId="94"/>
    <cellStyle name="Euro 7" xfId="95"/>
    <cellStyle name="Euro 8" xfId="96"/>
    <cellStyle name="Euro 9" xfId="97"/>
    <cellStyle name="Hyperlink" xfId="98"/>
    <cellStyle name="Followed Hyperlink" xfId="99"/>
    <cellStyle name="Incorrecto" xfId="100"/>
    <cellStyle name="Incorrecto 2" xfId="101"/>
    <cellStyle name="Comma" xfId="102"/>
    <cellStyle name="Comma [0]" xfId="103"/>
    <cellStyle name="Millares 10" xfId="104"/>
    <cellStyle name="Millares 10 2" xfId="105"/>
    <cellStyle name="Millares 10 3" xfId="106"/>
    <cellStyle name="Millares 10 4" xfId="107"/>
    <cellStyle name="Millares 11" xfId="108"/>
    <cellStyle name="Millares 11 2" xfId="109"/>
    <cellStyle name="Millares 12" xfId="110"/>
    <cellStyle name="Millares 13" xfId="111"/>
    <cellStyle name="Millares 14" xfId="112"/>
    <cellStyle name="Millares 15" xfId="113"/>
    <cellStyle name="Millares 16" xfId="114"/>
    <cellStyle name="Millares 17" xfId="115"/>
    <cellStyle name="Millares 2" xfId="116"/>
    <cellStyle name="Millares 2 10" xfId="117"/>
    <cellStyle name="Millares 2 11" xfId="118"/>
    <cellStyle name="Millares 2 12" xfId="119"/>
    <cellStyle name="Millares 2 13" xfId="120"/>
    <cellStyle name="Millares 2 2" xfId="121"/>
    <cellStyle name="Millares 2 2 2" xfId="122"/>
    <cellStyle name="Millares 2 2 3" xfId="123"/>
    <cellStyle name="Millares 2 3" xfId="124"/>
    <cellStyle name="Millares 2 4" xfId="125"/>
    <cellStyle name="Millares 2 5" xfId="126"/>
    <cellStyle name="Millares 2 5 2" xfId="127"/>
    <cellStyle name="Millares 2 5 3" xfId="128"/>
    <cellStyle name="Millares 2 5 4" xfId="129"/>
    <cellStyle name="Millares 2 5 5" xfId="130"/>
    <cellStyle name="Millares 2 5 6" xfId="131"/>
    <cellStyle name="Millares 2 6" xfId="132"/>
    <cellStyle name="Millares 2 6 2" xfId="133"/>
    <cellStyle name="Millares 2 7" xfId="134"/>
    <cellStyle name="Millares 2 7 2" xfId="135"/>
    <cellStyle name="Millares 2 8" xfId="136"/>
    <cellStyle name="Millares 2 9" xfId="137"/>
    <cellStyle name="Millares 3" xfId="138"/>
    <cellStyle name="Millares 3 2" xfId="139"/>
    <cellStyle name="Millares 3 3" xfId="140"/>
    <cellStyle name="Millares 3 4" xfId="141"/>
    <cellStyle name="Millares 4" xfId="142"/>
    <cellStyle name="Millares 4 2" xfId="143"/>
    <cellStyle name="Millares 4 2 2" xfId="144"/>
    <cellStyle name="Millares 4 3" xfId="145"/>
    <cellStyle name="Millares 4 3 2" xfId="146"/>
    <cellStyle name="Millares 4 4" xfId="147"/>
    <cellStyle name="Millares 4 5" xfId="148"/>
    <cellStyle name="Millares 4 6" xfId="149"/>
    <cellStyle name="Millares 4 7" xfId="150"/>
    <cellStyle name="Millares 5" xfId="151"/>
    <cellStyle name="Millares 5 2" xfId="152"/>
    <cellStyle name="Millares 5 3" xfId="153"/>
    <cellStyle name="Millares 6" xfId="154"/>
    <cellStyle name="Millares 6 2" xfId="155"/>
    <cellStyle name="Millares 7" xfId="156"/>
    <cellStyle name="Millares 7 2" xfId="157"/>
    <cellStyle name="Millares 8" xfId="158"/>
    <cellStyle name="Millares 9" xfId="159"/>
    <cellStyle name="Currency" xfId="160"/>
    <cellStyle name="Currency [0]" xfId="161"/>
    <cellStyle name="Moneda 2" xfId="162"/>
    <cellStyle name="Moneda 2 2" xfId="163"/>
    <cellStyle name="Moneda 3" xfId="164"/>
    <cellStyle name="Moneda 3 2" xfId="165"/>
    <cellStyle name="Moneda 4" xfId="166"/>
    <cellStyle name="Moneda 5" xfId="167"/>
    <cellStyle name="Moneda 6" xfId="168"/>
    <cellStyle name="Moneda 7" xfId="169"/>
    <cellStyle name="Moneda 8" xfId="170"/>
    <cellStyle name="Moneda 9" xfId="171"/>
    <cellStyle name="Neutral" xfId="172"/>
    <cellStyle name="Neutral 2" xfId="173"/>
    <cellStyle name="Normal 10" xfId="174"/>
    <cellStyle name="Normal 10 2" xfId="175"/>
    <cellStyle name="Normal 10 3" xfId="176"/>
    <cellStyle name="Normal 10 4" xfId="177"/>
    <cellStyle name="Normal 10 5" xfId="178"/>
    <cellStyle name="Normal 11" xfId="179"/>
    <cellStyle name="Normal 11 2" xfId="180"/>
    <cellStyle name="Normal 12" xfId="181"/>
    <cellStyle name="Normal 2" xfId="182"/>
    <cellStyle name="Normal 2 10" xfId="183"/>
    <cellStyle name="Normal 2 2" xfId="184"/>
    <cellStyle name="Normal 2 3" xfId="185"/>
    <cellStyle name="Normal 2 4" xfId="186"/>
    <cellStyle name="Normal 2 5" xfId="187"/>
    <cellStyle name="Normal 3" xfId="188"/>
    <cellStyle name="Normal 3 2" xfId="189"/>
    <cellStyle name="Normal 3 3" xfId="190"/>
    <cellStyle name="Normal 3 4" xfId="191"/>
    <cellStyle name="Normal 3 5" xfId="192"/>
    <cellStyle name="Normal 4" xfId="193"/>
    <cellStyle name="Normal 4 2" xfId="194"/>
    <cellStyle name="Normal 4 3" xfId="195"/>
    <cellStyle name="Normal 4 4" xfId="196"/>
    <cellStyle name="Normal 4 5" xfId="197"/>
    <cellStyle name="Normal 4 6" xfId="198"/>
    <cellStyle name="Normal 4 7" xfId="199"/>
    <cellStyle name="Normal 5" xfId="200"/>
    <cellStyle name="Normal 5 2" xfId="201"/>
    <cellStyle name="Normal 5 3" xfId="202"/>
    <cellStyle name="Normal 5 4" xfId="203"/>
    <cellStyle name="Normal 6" xfId="204"/>
    <cellStyle name="Normal 6 2" xfId="205"/>
    <cellStyle name="Normal 6 2 2" xfId="206"/>
    <cellStyle name="Normal 6 3" xfId="207"/>
    <cellStyle name="Normal 6 3 2" xfId="208"/>
    <cellStyle name="Normal 6 4" xfId="209"/>
    <cellStyle name="Normal 6 5" xfId="210"/>
    <cellStyle name="Normal 6 6" xfId="211"/>
    <cellStyle name="Normal 7" xfId="212"/>
    <cellStyle name="Normal 7 2" xfId="213"/>
    <cellStyle name="Normal 8" xfId="214"/>
    <cellStyle name="Normal 8 2" xfId="215"/>
    <cellStyle name="Normal 9" xfId="216"/>
    <cellStyle name="Normal 9 2" xfId="217"/>
    <cellStyle name="Normal 9 2 2" xfId="218"/>
    <cellStyle name="Normal 9 3" xfId="219"/>
    <cellStyle name="Normal 9 4" xfId="220"/>
    <cellStyle name="Normal 9 5" xfId="221"/>
    <cellStyle name="Notas" xfId="222"/>
    <cellStyle name="Notas 2" xfId="223"/>
    <cellStyle name="Percent" xfId="224"/>
    <cellStyle name="Porcentaje 2" xfId="225"/>
    <cellStyle name="Porcentaje 2 2" xfId="226"/>
    <cellStyle name="Porcentaje 2 3" xfId="227"/>
    <cellStyle name="Porcentaje 3" xfId="228"/>
    <cellStyle name="Porcentaje 4" xfId="229"/>
    <cellStyle name="Porcentaje 5" xfId="230"/>
    <cellStyle name="Porcentaje 6" xfId="231"/>
    <cellStyle name="Porcentaje 7" xfId="232"/>
    <cellStyle name="Porcentual 2" xfId="233"/>
    <cellStyle name="Porcentual 2 2" xfId="234"/>
    <cellStyle name="Salida" xfId="235"/>
    <cellStyle name="Salida 2" xfId="236"/>
    <cellStyle name="Texto de advertencia" xfId="237"/>
    <cellStyle name="Texto de advertencia 2" xfId="238"/>
    <cellStyle name="Texto explicativo" xfId="239"/>
    <cellStyle name="Texto explicativo 2" xfId="240"/>
    <cellStyle name="Título" xfId="241"/>
    <cellStyle name="Título 2" xfId="242"/>
    <cellStyle name="Título 2 2" xfId="243"/>
    <cellStyle name="Título 3" xfId="244"/>
    <cellStyle name="Título 3 2" xfId="245"/>
    <cellStyle name="Total" xfId="246"/>
    <cellStyle name="Total 2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2925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70" zoomScaleNormal="70" zoomScalePageLayoutView="0" workbookViewId="0" topLeftCell="A1">
      <selection activeCell="B37" sqref="B37"/>
    </sheetView>
  </sheetViews>
  <sheetFormatPr defaultColWidth="11.421875" defaultRowHeight="12.75"/>
  <cols>
    <col min="1" max="1" width="50.00390625" style="0" customWidth="1"/>
    <col min="2" max="2" width="22.00390625" style="0" customWidth="1"/>
    <col min="3" max="3" width="19.7109375" style="0" customWidth="1"/>
    <col min="4" max="4" width="5.00390625" style="0" customWidth="1"/>
    <col min="5" max="5" width="27.57421875" style="0" customWidth="1"/>
    <col min="6" max="6" width="16.8515625" style="0" customWidth="1"/>
    <col min="7" max="9" width="11.421875" style="0" customWidth="1"/>
    <col min="10" max="10" width="13.00390625" style="0" customWidth="1"/>
    <col min="11" max="12" width="11.57421875" style="0" customWidth="1"/>
  </cols>
  <sheetData>
    <row r="1" spans="1:3" ht="15.75">
      <c r="A1" s="34"/>
      <c r="B1" s="5"/>
      <c r="C1" s="5"/>
    </row>
    <row r="2" spans="1:3" ht="12.75">
      <c r="A2" s="6"/>
      <c r="B2" s="5"/>
      <c r="C2" s="5"/>
    </row>
    <row r="3" spans="1:10" ht="12.75">
      <c r="A3" s="6" t="s">
        <v>0</v>
      </c>
      <c r="B3" s="5"/>
      <c r="C3" s="5"/>
      <c r="J3" s="35"/>
    </row>
    <row r="4" spans="1:3" ht="12.75">
      <c r="A4" s="6" t="s">
        <v>1</v>
      </c>
      <c r="B4" s="5"/>
      <c r="C4" s="5"/>
    </row>
    <row r="5" spans="1:10" ht="12.75">
      <c r="A5" s="6" t="s">
        <v>2</v>
      </c>
      <c r="B5" s="5"/>
      <c r="C5" s="5"/>
      <c r="J5" s="35"/>
    </row>
    <row r="6" ht="13.5" thickBot="1">
      <c r="J6" s="36"/>
    </row>
    <row r="7" spans="1:3" ht="13.5" thickBot="1">
      <c r="A7" s="7" t="s">
        <v>3</v>
      </c>
      <c r="B7" s="7" t="s">
        <v>4</v>
      </c>
      <c r="C7" s="7" t="s">
        <v>5</v>
      </c>
    </row>
    <row r="8" spans="1:10" ht="13.5" thickBot="1">
      <c r="A8" s="3"/>
      <c r="B8" s="3"/>
      <c r="C8" s="3"/>
      <c r="J8" s="36"/>
    </row>
    <row r="9" spans="1:7" ht="12.75">
      <c r="A9" s="8" t="s">
        <v>6</v>
      </c>
      <c r="B9" s="37">
        <v>8885425768.73</v>
      </c>
      <c r="C9" s="9">
        <f aca="true" t="shared" si="0" ref="C9:C17">+B9/$B$31</f>
        <v>0.08502948756107982</v>
      </c>
      <c r="D9" s="4"/>
      <c r="E9" s="4" t="s">
        <v>7</v>
      </c>
      <c r="F9" s="4"/>
      <c r="G9" s="4"/>
    </row>
    <row r="10" spans="1:10" ht="12.75">
      <c r="A10" s="38" t="s">
        <v>8</v>
      </c>
      <c r="B10" s="39">
        <v>5284664918.97</v>
      </c>
      <c r="C10" s="10">
        <f t="shared" si="0"/>
        <v>0.05057184221530679</v>
      </c>
      <c r="E10" s="4" t="s">
        <v>9</v>
      </c>
      <c r="F10" s="4"/>
      <c r="J10" s="35"/>
    </row>
    <row r="11" spans="1:6" ht="12.75">
      <c r="A11" s="38" t="s">
        <v>10</v>
      </c>
      <c r="B11" s="39">
        <f>13247469138.8-3049420050.56</f>
        <v>10198049088.24</v>
      </c>
      <c r="C11" s="10">
        <f t="shared" si="0"/>
        <v>0.09759069634540707</v>
      </c>
      <c r="E11" s="4" t="s">
        <v>11</v>
      </c>
      <c r="F11" s="4"/>
    </row>
    <row r="12" spans="1:6" ht="12.75">
      <c r="A12" s="38" t="s">
        <v>12</v>
      </c>
      <c r="B12" s="39">
        <v>5096280331.01</v>
      </c>
      <c r="C12" s="10">
        <f t="shared" si="0"/>
        <v>0.04876908730005938</v>
      </c>
      <c r="E12" s="4" t="s">
        <v>13</v>
      </c>
      <c r="F12" s="4"/>
    </row>
    <row r="13" spans="1:10" ht="12.75">
      <c r="A13" s="40" t="s">
        <v>14</v>
      </c>
      <c r="B13" s="41">
        <v>2033341242.91</v>
      </c>
      <c r="C13" s="42">
        <f t="shared" si="0"/>
        <v>0.019458151856932154</v>
      </c>
      <c r="E13" s="4" t="s">
        <v>15</v>
      </c>
      <c r="F13" s="4"/>
      <c r="J13" s="36"/>
    </row>
    <row r="14" spans="1:7" s="45" customFormat="1" ht="12.75">
      <c r="A14" s="40" t="s">
        <v>16</v>
      </c>
      <c r="B14" s="41">
        <v>2055008526.6</v>
      </c>
      <c r="C14" s="42">
        <f t="shared" si="0"/>
        <v>0.019665497917431014</v>
      </c>
      <c r="D14" s="43"/>
      <c r="E14" s="44" t="s">
        <v>17</v>
      </c>
      <c r="F14" s="44"/>
      <c r="G14" s="43"/>
    </row>
    <row r="15" spans="1:7" s="45" customFormat="1" ht="12.75">
      <c r="A15" s="40" t="s">
        <v>18</v>
      </c>
      <c r="B15" s="41">
        <v>0</v>
      </c>
      <c r="C15" s="42">
        <f t="shared" si="0"/>
        <v>0</v>
      </c>
      <c r="D15" s="43"/>
      <c r="E15" s="44" t="s">
        <v>19</v>
      </c>
      <c r="F15" s="44"/>
      <c r="G15" s="43"/>
    </row>
    <row r="16" spans="1:7" s="45" customFormat="1" ht="12.75">
      <c r="A16" s="40" t="s">
        <v>20</v>
      </c>
      <c r="B16" s="41">
        <v>13803867969.72</v>
      </c>
      <c r="C16" s="42">
        <f t="shared" si="0"/>
        <v>0.13209674475665084</v>
      </c>
      <c r="D16" s="43"/>
      <c r="E16" s="44" t="s">
        <v>21</v>
      </c>
      <c r="F16" s="44"/>
      <c r="G16" s="43"/>
    </row>
    <row r="17" spans="1:7" s="45" customFormat="1" ht="12.75">
      <c r="A17" s="40" t="s">
        <v>22</v>
      </c>
      <c r="B17" s="41">
        <v>1045062409.93</v>
      </c>
      <c r="C17" s="42">
        <f t="shared" si="0"/>
        <v>0.010000772444514612</v>
      </c>
      <c r="D17" s="43"/>
      <c r="E17" s="44" t="s">
        <v>23</v>
      </c>
      <c r="F17" s="44"/>
      <c r="G17" s="43"/>
    </row>
    <row r="18" spans="1:7" s="45" customFormat="1" ht="12.75">
      <c r="A18" s="46" t="s">
        <v>24</v>
      </c>
      <c r="B18" s="47">
        <f>SUM(B9:B17)</f>
        <v>48401700256.11</v>
      </c>
      <c r="C18" s="48">
        <f>SUM(C9:C17)</f>
        <v>0.4631822803973817</v>
      </c>
      <c r="D18" s="49"/>
      <c r="E18" s="50" t="s">
        <v>25</v>
      </c>
      <c r="F18" s="44"/>
      <c r="G18" s="43"/>
    </row>
    <row r="19" spans="1:12" s="45" customFormat="1" ht="12.75">
      <c r="A19" s="40" t="s">
        <v>26</v>
      </c>
      <c r="B19" s="41">
        <v>1005898137.82</v>
      </c>
      <c r="C19" s="42">
        <f>+B19/$B$31</f>
        <v>0.00962598815449944</v>
      </c>
      <c r="D19" s="43"/>
      <c r="E19" s="44" t="s">
        <v>27</v>
      </c>
      <c r="F19" s="44"/>
      <c r="G19" s="43"/>
      <c r="K19" s="54"/>
      <c r="L19" s="55"/>
    </row>
    <row r="20" spans="1:6" s="45" customFormat="1" ht="12.75">
      <c r="A20" s="40" t="s">
        <v>28</v>
      </c>
      <c r="B20" s="41">
        <f>25046853500.34-3089939107.93</f>
        <v>21956914392.41</v>
      </c>
      <c r="C20" s="42">
        <f>+B20/$B$31</f>
        <v>0.21011769472876596</v>
      </c>
      <c r="E20" s="44" t="s">
        <v>29</v>
      </c>
      <c r="F20" s="44"/>
    </row>
    <row r="21" spans="1:6" s="45" customFormat="1" ht="12.75">
      <c r="A21" s="46" t="s">
        <v>30</v>
      </c>
      <c r="B21" s="47">
        <f>SUM(B19:B20)</f>
        <v>22962812530.23</v>
      </c>
      <c r="C21" s="48">
        <f>SUM(C19:C20)</f>
        <v>0.2197436828832654</v>
      </c>
      <c r="E21" s="50" t="s">
        <v>31</v>
      </c>
      <c r="F21" s="44"/>
    </row>
    <row r="22" spans="1:6" s="53" customFormat="1" ht="12.75">
      <c r="A22" s="40" t="s">
        <v>32</v>
      </c>
      <c r="B22" s="41">
        <v>3588633193.81</v>
      </c>
      <c r="C22" s="42">
        <f>+B22/$B$31</f>
        <v>0.03434158918846715</v>
      </c>
      <c r="E22" s="52" t="s">
        <v>33</v>
      </c>
      <c r="F22" s="52"/>
    </row>
    <row r="23" spans="1:7" s="45" customFormat="1" ht="12.75">
      <c r="A23" s="40" t="s">
        <v>34</v>
      </c>
      <c r="B23" s="41">
        <v>11574855512.86</v>
      </c>
      <c r="C23" s="42">
        <f>+B23/$B$31</f>
        <v>0.11076610828438654</v>
      </c>
      <c r="D23" s="43"/>
      <c r="E23" s="44"/>
      <c r="F23" s="44"/>
      <c r="G23" s="43"/>
    </row>
    <row r="24" spans="1:7" s="45" customFormat="1" ht="12.75">
      <c r="A24" s="43" t="s">
        <v>35</v>
      </c>
      <c r="B24" s="41">
        <v>2058275568.28</v>
      </c>
      <c r="C24" s="42">
        <f>+B24/$B$31</f>
        <v>0.019696762021945705</v>
      </c>
      <c r="D24" s="43"/>
      <c r="E24" s="44"/>
      <c r="F24" s="44"/>
      <c r="G24" s="43"/>
    </row>
    <row r="25" spans="1:7" s="45" customFormat="1" ht="12.75">
      <c r="A25" s="46" t="s">
        <v>36</v>
      </c>
      <c r="B25" s="47">
        <f>SUM(B22:B24)</f>
        <v>17221764274.95</v>
      </c>
      <c r="C25" s="48">
        <f>SUM(C22:C24)</f>
        <v>0.16480445949479938</v>
      </c>
      <c r="D25" s="43"/>
      <c r="E25" s="44"/>
      <c r="F25" s="44"/>
      <c r="G25" s="43"/>
    </row>
    <row r="26" spans="1:7" s="53" customFormat="1" ht="12.75">
      <c r="A26" s="46" t="s">
        <v>37</v>
      </c>
      <c r="B26" s="47">
        <v>685924681.27</v>
      </c>
      <c r="C26" s="48">
        <f>+B26/$B$31</f>
        <v>0.006563987553544255</v>
      </c>
      <c r="D26" s="51"/>
      <c r="E26" s="52"/>
      <c r="F26" s="52"/>
      <c r="G26" s="51"/>
    </row>
    <row r="27" spans="1:7" s="53" customFormat="1" ht="12.75">
      <c r="A27" s="46" t="s">
        <v>38</v>
      </c>
      <c r="B27" s="47">
        <v>0</v>
      </c>
      <c r="C27" s="48">
        <f>+B27/$B$31</f>
        <v>0</v>
      </c>
      <c r="D27" s="51"/>
      <c r="E27" s="52"/>
      <c r="F27" s="52"/>
      <c r="G27" s="51"/>
    </row>
    <row r="28" spans="1:7" s="53" customFormat="1" ht="12.75">
      <c r="A28" s="46" t="s">
        <v>39</v>
      </c>
      <c r="B28" s="47">
        <v>15225967346.69</v>
      </c>
      <c r="C28" s="48">
        <f>+B28/B31</f>
        <v>0.14570558967100922</v>
      </c>
      <c r="D28" s="51"/>
      <c r="E28" s="52"/>
      <c r="F28" s="52"/>
      <c r="G28" s="51"/>
    </row>
    <row r="29" spans="1:7" s="53" customFormat="1" ht="12.75">
      <c r="A29" s="46" t="s">
        <v>40</v>
      </c>
      <c r="B29" s="47"/>
      <c r="C29" s="48">
        <f>+B29/$B$31</f>
        <v>0</v>
      </c>
      <c r="D29" s="51"/>
      <c r="E29" s="52"/>
      <c r="F29" s="52"/>
      <c r="G29" s="51"/>
    </row>
    <row r="30" spans="1:7" s="53" customFormat="1" ht="13.5" thickBot="1">
      <c r="A30" s="56"/>
      <c r="B30" s="39"/>
      <c r="C30" s="10"/>
      <c r="D30" s="51"/>
      <c r="F30" s="52"/>
      <c r="G30" s="51"/>
    </row>
    <row r="31" spans="1:3" ht="13.5" thickBot="1">
      <c r="A31" s="11" t="s">
        <v>41</v>
      </c>
      <c r="B31" s="12">
        <f>+B26+B25+B21+B18+B28+B27+B29</f>
        <v>104498169089.25</v>
      </c>
      <c r="C31" s="13">
        <f>+C26+C25+C21+C18+C28+C27+C29</f>
        <v>0.9999999999999999</v>
      </c>
    </row>
    <row r="32" spans="1:3" s="2" customFormat="1" ht="12.75">
      <c r="A32"/>
      <c r="B32" s="57"/>
      <c r="C32"/>
    </row>
    <row r="33" ht="12.75">
      <c r="B33" s="4"/>
    </row>
    <row r="34" spans="1:3" ht="12.75">
      <c r="A34" s="6" t="s">
        <v>42</v>
      </c>
      <c r="B34" s="14"/>
      <c r="C34" s="5"/>
    </row>
    <row r="35" ht="13.5" thickBot="1">
      <c r="A35" s="2"/>
    </row>
    <row r="36" spans="1:3" ht="13.5" thickBot="1">
      <c r="A36" s="11" t="s">
        <v>43</v>
      </c>
      <c r="B36" s="11" t="s">
        <v>44</v>
      </c>
      <c r="C36" s="11" t="s">
        <v>45</v>
      </c>
    </row>
    <row r="37" ht="13.5" thickBot="1">
      <c r="A37" s="2"/>
    </row>
    <row r="38" spans="1:3" ht="12.75">
      <c r="A38" s="58" t="s">
        <v>46</v>
      </c>
      <c r="B38" s="59">
        <v>3049420050.56</v>
      </c>
      <c r="C38" s="60">
        <f>+B38/$B$43</f>
        <v>0.21149484983193811</v>
      </c>
    </row>
    <row r="39" spans="1:3" ht="12.75">
      <c r="A39" s="61" t="s">
        <v>18</v>
      </c>
      <c r="B39" s="41">
        <v>31655124.09</v>
      </c>
      <c r="C39" s="62">
        <f>+B39/$B$43</f>
        <v>0.0021954652375937704</v>
      </c>
    </row>
    <row r="40" spans="1:3" ht="12.75">
      <c r="A40" s="61" t="s">
        <v>47</v>
      </c>
      <c r="B40" s="41">
        <v>3089939107.93</v>
      </c>
      <c r="C40" s="62">
        <f>+B40/$B$43</f>
        <v>0.21430507991231884</v>
      </c>
    </row>
    <row r="41" spans="1:3" ht="13.5" thickBot="1">
      <c r="A41" s="63" t="s">
        <v>48</v>
      </c>
      <c r="B41" s="64">
        <v>8247398520.3</v>
      </c>
      <c r="C41" s="65">
        <f>+B41/$B$43</f>
        <v>0.5720046050181492</v>
      </c>
    </row>
    <row r="42" ht="13.5" thickBot="1">
      <c r="A42" s="2"/>
    </row>
    <row r="43" spans="1:3" ht="13.5" thickBot="1">
      <c r="A43" s="11" t="s">
        <v>49</v>
      </c>
      <c r="B43" s="12">
        <f>SUM(B38:B42)</f>
        <v>14418412802.880001</v>
      </c>
      <c r="C43" s="66">
        <f>+C41+C40+C39+C38</f>
        <v>0.9999999999999999</v>
      </c>
    </row>
    <row r="44" spans="1:3" s="2" customFormat="1" ht="12.75">
      <c r="A44"/>
      <c r="B44" s="4"/>
      <c r="C44"/>
    </row>
    <row r="45" spans="1:3" ht="12.75">
      <c r="A45" s="6" t="s">
        <v>50</v>
      </c>
      <c r="B45" s="14"/>
      <c r="C45" s="5"/>
    </row>
    <row r="46" ht="13.5" thickBot="1">
      <c r="A46" s="2"/>
    </row>
    <row r="47" spans="1:6" ht="13.5" thickBot="1">
      <c r="A47" s="11" t="s">
        <v>51</v>
      </c>
      <c r="B47" s="11" t="s">
        <v>4</v>
      </c>
      <c r="C47" s="11" t="s">
        <v>5</v>
      </c>
      <c r="F47" s="4"/>
    </row>
    <row r="48" ht="13.5" thickBot="1">
      <c r="F48" s="4"/>
    </row>
    <row r="49" spans="1:6" ht="12.75">
      <c r="A49" s="8" t="s">
        <v>52</v>
      </c>
      <c r="B49" s="37">
        <v>85440101547.22</v>
      </c>
      <c r="C49" s="9">
        <f>+B49/$B$55</f>
        <v>0.8176229525538111</v>
      </c>
      <c r="E49" s="35"/>
      <c r="F49" s="4"/>
    </row>
    <row r="50" spans="1:6" ht="12.75">
      <c r="A50" s="38" t="s">
        <v>53</v>
      </c>
      <c r="B50" s="39">
        <v>3146175514.07</v>
      </c>
      <c r="C50" s="10">
        <f>+B50/$B$55</f>
        <v>0.030107470221635253</v>
      </c>
      <c r="E50" s="35"/>
      <c r="F50" s="4"/>
    </row>
    <row r="51" spans="1:6" ht="12.75">
      <c r="A51" s="38" t="s">
        <v>54</v>
      </c>
      <c r="B51" s="39">
        <v>685924681.27</v>
      </c>
      <c r="C51" s="10">
        <f>+B51/B55</f>
        <v>0.006563987553544254</v>
      </c>
      <c r="E51" s="35"/>
      <c r="F51" s="4"/>
    </row>
    <row r="52" spans="1:6" ht="12.75">
      <c r="A52" s="38" t="s">
        <v>55</v>
      </c>
      <c r="B52" s="39">
        <v>15225967346.69</v>
      </c>
      <c r="C52" s="10">
        <f>+B52/B55</f>
        <v>0.14570558967100922</v>
      </c>
      <c r="E52" s="35"/>
      <c r="F52" s="4"/>
    </row>
    <row r="53" spans="1:6" ht="13.5" thickBot="1">
      <c r="A53" s="56" t="s">
        <v>56</v>
      </c>
      <c r="B53" s="67"/>
      <c r="C53" s="68"/>
      <c r="E53" s="35"/>
      <c r="F53" s="4"/>
    </row>
    <row r="54" spans="2:6" ht="13.5" thickBot="1">
      <c r="B54" s="4"/>
      <c r="C54" s="17"/>
      <c r="D54" s="16"/>
      <c r="F54" s="4"/>
    </row>
    <row r="55" spans="1:6" ht="13.5" thickBot="1">
      <c r="A55" s="11" t="s">
        <v>49</v>
      </c>
      <c r="B55" s="12">
        <f>SUM(B49:B53)</f>
        <v>104498169089.25002</v>
      </c>
      <c r="C55" s="13">
        <f>SUM(C49:C54)</f>
        <v>0.9999999999999999</v>
      </c>
      <c r="D55" s="69"/>
      <c r="E55" s="4"/>
      <c r="F55" s="35"/>
    </row>
    <row r="56" spans="1:6" ht="12.75">
      <c r="A56" s="2"/>
      <c r="B56" s="18"/>
      <c r="C56" s="18"/>
      <c r="F56" s="35"/>
    </row>
    <row r="57" spans="1:3" ht="12.75">
      <c r="A57" s="6" t="s">
        <v>57</v>
      </c>
      <c r="B57" s="14"/>
      <c r="C57" s="14"/>
    </row>
    <row r="58" spans="1:3" ht="13.5" thickBot="1">
      <c r="A58" s="2"/>
      <c r="B58" s="4"/>
      <c r="C58" s="4"/>
    </row>
    <row r="59" spans="1:3" ht="13.5" thickBot="1">
      <c r="A59" s="11" t="s">
        <v>58</v>
      </c>
      <c r="B59" s="11" t="s">
        <v>4</v>
      </c>
      <c r="C59" s="11" t="s">
        <v>5</v>
      </c>
    </row>
    <row r="60" spans="1:3" ht="13.5" thickBot="1">
      <c r="A60" s="19"/>
      <c r="B60" s="19"/>
      <c r="C60" s="20"/>
    </row>
    <row r="61" spans="1:6" ht="12.75">
      <c r="A61" s="8" t="s">
        <v>59</v>
      </c>
      <c r="B61" s="37">
        <v>0</v>
      </c>
      <c r="C61" s="70">
        <f aca="true" t="shared" si="1" ref="C61:C67">+B61/$B$71</f>
        <v>0</v>
      </c>
      <c r="D61" s="4"/>
      <c r="F61" s="4"/>
    </row>
    <row r="62" spans="1:6" ht="12.75">
      <c r="A62" s="71" t="s">
        <v>60</v>
      </c>
      <c r="B62" s="39">
        <v>27158597088.14</v>
      </c>
      <c r="C62" s="72">
        <f t="shared" si="1"/>
        <v>0.22838360013387987</v>
      </c>
      <c r="D62" s="4"/>
      <c r="F62" s="4"/>
    </row>
    <row r="63" spans="1:6" ht="12.75">
      <c r="A63" s="71" t="s">
        <v>61</v>
      </c>
      <c r="B63" s="39">
        <v>30659880952.18</v>
      </c>
      <c r="C63" s="72">
        <f t="shared" si="1"/>
        <v>0.2578267930707239</v>
      </c>
      <c r="D63" s="16"/>
      <c r="F63" s="4"/>
    </row>
    <row r="64" spans="1:6" ht="12.75">
      <c r="A64" s="71" t="s">
        <v>62</v>
      </c>
      <c r="B64" s="39">
        <v>13028866660.12</v>
      </c>
      <c r="C64" s="72">
        <f t="shared" si="1"/>
        <v>0.10956307735063028</v>
      </c>
      <c r="F64" s="4"/>
    </row>
    <row r="65" spans="1:6" ht="12.75">
      <c r="A65" s="71" t="s">
        <v>63</v>
      </c>
      <c r="B65" s="39">
        <v>19851026332.8</v>
      </c>
      <c r="C65" s="72">
        <f t="shared" si="1"/>
        <v>0.16693236567131564</v>
      </c>
      <c r="F65" s="4"/>
    </row>
    <row r="66" spans="1:6" ht="12.75">
      <c r="A66" s="71" t="s">
        <v>64</v>
      </c>
      <c r="B66" s="39">
        <v>5770153715.24</v>
      </c>
      <c r="C66" s="72">
        <f t="shared" si="1"/>
        <v>0.04852270073213291</v>
      </c>
      <c r="F66" s="4"/>
    </row>
    <row r="67" spans="1:6" ht="12.75">
      <c r="A67" s="71" t="s">
        <v>65</v>
      </c>
      <c r="B67" s="39">
        <v>2576864328.73</v>
      </c>
      <c r="C67" s="72">
        <f t="shared" si="1"/>
        <v>0.02166951225580542</v>
      </c>
      <c r="F67" s="4"/>
    </row>
    <row r="68" spans="1:6" ht="13.5" thickBot="1">
      <c r="A68" s="38" t="s">
        <v>66</v>
      </c>
      <c r="B68" s="73">
        <v>5452780012.04</v>
      </c>
      <c r="C68" s="72">
        <f>+B68/B71</f>
        <v>0.045853823960280427</v>
      </c>
      <c r="F68" s="4"/>
    </row>
    <row r="69" spans="1:4" ht="13.5" thickBot="1">
      <c r="A69" s="11" t="s">
        <v>67</v>
      </c>
      <c r="B69" s="12">
        <f>SUM(B61:B68)</f>
        <v>104498169089.25</v>
      </c>
      <c r="C69" s="74">
        <f>SUM(C61:C68)</f>
        <v>0.8787518731747685</v>
      </c>
      <c r="D69" s="4"/>
    </row>
    <row r="70" spans="1:3" s="2" customFormat="1" ht="13.5" thickBot="1">
      <c r="A70" s="75" t="s">
        <v>59</v>
      </c>
      <c r="B70" s="76">
        <f>+B43</f>
        <v>14418412802.880001</v>
      </c>
      <c r="C70" s="77">
        <f>+B70/$B$71</f>
        <v>0.12124812682523145</v>
      </c>
    </row>
    <row r="71" spans="1:5" ht="13.5" thickBot="1">
      <c r="A71" s="24" t="s">
        <v>41</v>
      </c>
      <c r="B71" s="78">
        <f>+B70+B69</f>
        <v>118916581892.13</v>
      </c>
      <c r="C71" s="79">
        <f>+B71/$B$71</f>
        <v>1</v>
      </c>
      <c r="D71" s="4"/>
      <c r="E71" s="4"/>
    </row>
    <row r="72" spans="1:3" s="2" customFormat="1" ht="12.75">
      <c r="A72"/>
      <c r="B72" s="4"/>
      <c r="C72"/>
    </row>
    <row r="73" ht="12.75">
      <c r="B73" s="4"/>
    </row>
    <row r="74" ht="12.75">
      <c r="B74" s="4"/>
    </row>
    <row r="75" ht="12.75">
      <c r="B75" s="4"/>
    </row>
  </sheetData>
  <sheetProtection/>
  <printOptions horizontalCentered="1"/>
  <pageMargins left="0.6299212598425197" right="0.5905511811023623" top="0.88" bottom="1.55" header="0.35433070866141736" footer="0.99"/>
  <pageSetup fitToHeight="1" fitToWidth="1" horizontalDpi="300" verticalDpi="300" orientation="portrait" scale="10" r:id="rId1"/>
  <headerFooter alignWithMargins="0">
    <oddFooter>&amp;CPreparado por FIDUCOLOMBIA S.A. &amp;D&amp;RPágina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81"/>
  <sheetViews>
    <sheetView tabSelected="1" zoomScalePageLayoutView="0" workbookViewId="0" topLeftCell="A70">
      <selection activeCell="A82" sqref="A82"/>
    </sheetView>
  </sheetViews>
  <sheetFormatPr defaultColWidth="25.140625" defaultRowHeight="12.75"/>
  <sheetData>
    <row r="1" spans="1:2" ht="26.25" thickBot="1">
      <c r="A1" s="218" t="s">
        <v>235</v>
      </c>
      <c r="B1" s="219" t="s">
        <v>236</v>
      </c>
    </row>
    <row r="2" spans="1:2" ht="13.5" thickBot="1">
      <c r="A2" s="220">
        <v>42948</v>
      </c>
      <c r="B2" s="221">
        <v>0.0549</v>
      </c>
    </row>
    <row r="3" spans="1:2" ht="13.5" thickBot="1">
      <c r="A3" s="220">
        <v>42979</v>
      </c>
      <c r="B3" s="221">
        <v>0.0547</v>
      </c>
    </row>
    <row r="4" spans="1:2" ht="13.5" thickBot="1">
      <c r="A4" s="220">
        <v>43009</v>
      </c>
      <c r="B4" s="221">
        <v>0.054</v>
      </c>
    </row>
    <row r="5" spans="1:2" ht="13.5" thickBot="1">
      <c r="A5" s="220">
        <v>43040</v>
      </c>
      <c r="B5" s="221">
        <v>0.0517</v>
      </c>
    </row>
    <row r="6" spans="1:2" ht="13.5" thickBot="1">
      <c r="A6" s="220">
        <v>43070</v>
      </c>
      <c r="B6" s="221">
        <v>0.0495</v>
      </c>
    </row>
    <row r="7" spans="1:2" ht="13.5" thickBot="1">
      <c r="A7" s="220">
        <v>43101</v>
      </c>
      <c r="B7" s="221">
        <v>0.0492</v>
      </c>
    </row>
    <row r="8" spans="1:2" ht="13.5" thickBot="1">
      <c r="A8" s="220">
        <v>43132</v>
      </c>
      <c r="B8" s="221">
        <v>0.0474</v>
      </c>
    </row>
    <row r="9" spans="1:2" ht="13.5" thickBot="1">
      <c r="A9" s="220">
        <v>43160</v>
      </c>
      <c r="B9" s="221">
        <v>0.047</v>
      </c>
    </row>
    <row r="10" spans="1:2" ht="13.5" thickBot="1">
      <c r="A10" s="220">
        <v>43191</v>
      </c>
      <c r="B10" s="221">
        <v>0.0464</v>
      </c>
    </row>
    <row r="11" spans="1:2" ht="13.5" thickBot="1">
      <c r="A11" s="220">
        <v>43221</v>
      </c>
      <c r="B11" s="221">
        <v>0.0435</v>
      </c>
    </row>
    <row r="12" spans="1:2" ht="13.5" thickBot="1">
      <c r="A12" s="220">
        <v>43252</v>
      </c>
      <c r="B12" s="221">
        <v>0.0393</v>
      </c>
    </row>
    <row r="13" spans="1:2" ht="13.5" thickBot="1">
      <c r="A13" s="220">
        <v>43282</v>
      </c>
      <c r="B13" s="221">
        <v>0.0427</v>
      </c>
    </row>
    <row r="14" spans="1:2" ht="13.5" thickBot="1">
      <c r="A14" s="220">
        <v>43313</v>
      </c>
      <c r="B14" s="221">
        <v>0.0431</v>
      </c>
    </row>
    <row r="15" spans="1:2" ht="13.5" thickBot="1">
      <c r="A15" s="220">
        <v>43344</v>
      </c>
      <c r="B15" s="221">
        <v>0.044</v>
      </c>
    </row>
    <row r="16" spans="1:2" ht="13.5" thickBot="1">
      <c r="A16" s="220">
        <v>43374</v>
      </c>
      <c r="B16" s="221">
        <v>0.0427</v>
      </c>
    </row>
    <row r="17" spans="1:2" ht="13.5" thickBot="1">
      <c r="A17" s="220">
        <v>43405</v>
      </c>
      <c r="B17" s="221">
        <v>0.0433</v>
      </c>
    </row>
    <row r="18" spans="1:2" ht="13.5" thickBot="1">
      <c r="A18" s="220">
        <v>43435</v>
      </c>
      <c r="B18" s="221">
        <v>0.0437</v>
      </c>
    </row>
    <row r="19" spans="1:2" ht="13.5" thickBot="1">
      <c r="A19" s="220">
        <v>43466</v>
      </c>
      <c r="B19" s="221">
        <v>0.0437</v>
      </c>
    </row>
    <row r="20" spans="1:2" ht="13.5" thickBot="1">
      <c r="A20" s="220">
        <v>43497</v>
      </c>
      <c r="B20" s="221">
        <v>0.046</v>
      </c>
    </row>
    <row r="21" spans="1:2" ht="13.5" thickBot="1">
      <c r="A21" s="220">
        <v>43525</v>
      </c>
      <c r="B21" s="221">
        <v>0.0462</v>
      </c>
    </row>
    <row r="22" spans="1:2" ht="13.5" thickBot="1">
      <c r="A22" s="220">
        <v>43556</v>
      </c>
      <c r="B22" s="221">
        <v>0.0462</v>
      </c>
    </row>
    <row r="23" spans="1:2" ht="13.5" thickBot="1">
      <c r="A23" s="220">
        <v>43586</v>
      </c>
      <c r="B23" s="221">
        <v>0.0463</v>
      </c>
    </row>
    <row r="24" spans="1:2" ht="13.5" thickBot="1">
      <c r="A24" s="220">
        <v>43617</v>
      </c>
      <c r="B24" s="221">
        <v>0.0464</v>
      </c>
    </row>
    <row r="25" spans="1:2" ht="13.5" thickBot="1">
      <c r="A25" s="220">
        <v>43647</v>
      </c>
      <c r="B25" s="221">
        <v>0.0458</v>
      </c>
    </row>
    <row r="26" spans="1:2" ht="13.5" thickBot="1">
      <c r="A26" s="220">
        <v>43678</v>
      </c>
      <c r="B26" s="221">
        <v>0.0463</v>
      </c>
    </row>
    <row r="27" spans="1:2" ht="13.5" thickBot="1">
      <c r="A27" s="220">
        <v>43709</v>
      </c>
      <c r="B27" s="221">
        <v>0.0465</v>
      </c>
    </row>
    <row r="28" spans="1:2" ht="13.5" thickBot="1">
      <c r="A28" s="220">
        <v>43739</v>
      </c>
      <c r="B28" s="221">
        <v>0.0461</v>
      </c>
    </row>
    <row r="29" spans="1:2" ht="13.5" thickBot="1">
      <c r="A29" s="220">
        <v>43770</v>
      </c>
      <c r="B29" s="221">
        <v>0.0467</v>
      </c>
    </row>
    <row r="30" spans="1:2" ht="13.5" thickBot="1">
      <c r="A30" s="220">
        <v>43800</v>
      </c>
      <c r="B30" s="221">
        <v>0.047</v>
      </c>
    </row>
    <row r="31" spans="1:2" ht="13.5" thickBot="1">
      <c r="A31" s="220">
        <v>43831</v>
      </c>
      <c r="B31" s="221">
        <v>0.0471</v>
      </c>
    </row>
    <row r="32" spans="1:2" ht="13.5" thickBot="1">
      <c r="A32" s="220">
        <v>43862</v>
      </c>
      <c r="B32" s="221">
        <v>0.0473</v>
      </c>
    </row>
    <row r="33" spans="1:2" ht="13.5" thickBot="1">
      <c r="A33" s="220">
        <v>43891</v>
      </c>
      <c r="B33" s="221">
        <v>0.0474</v>
      </c>
    </row>
    <row r="34" spans="1:2" ht="13.5" thickBot="1">
      <c r="A34" s="220">
        <v>43922</v>
      </c>
      <c r="B34" s="221">
        <v>0.047</v>
      </c>
    </row>
    <row r="35" spans="1:2" ht="13.5" thickBot="1">
      <c r="A35" s="220">
        <v>43952</v>
      </c>
      <c r="B35" s="221">
        <v>0.0442</v>
      </c>
    </row>
    <row r="36" spans="1:2" ht="13.5" thickBot="1">
      <c r="A36" s="220">
        <v>43983</v>
      </c>
      <c r="B36" s="221">
        <v>0.0397</v>
      </c>
    </row>
    <row r="37" spans="1:2" ht="13.5" thickBot="1">
      <c r="A37" s="220">
        <v>44013</v>
      </c>
      <c r="B37" s="221">
        <v>0.0335</v>
      </c>
    </row>
    <row r="38" spans="1:2" ht="13.5" thickBot="1">
      <c r="A38" s="220">
        <v>44044</v>
      </c>
      <c r="B38" s="221">
        <v>0.0283</v>
      </c>
    </row>
    <row r="39" spans="1:2" ht="13.5" thickBot="1">
      <c r="A39" s="220">
        <v>44075</v>
      </c>
      <c r="B39" s="221">
        <v>0.0246</v>
      </c>
    </row>
    <row r="40" spans="1:2" ht="13.5" thickBot="1">
      <c r="A40" s="220">
        <v>44105</v>
      </c>
      <c r="B40" s="221">
        <v>0.022</v>
      </c>
    </row>
    <row r="41" spans="1:2" ht="13.5" thickBot="1">
      <c r="A41" s="220">
        <v>44136</v>
      </c>
      <c r="B41" s="221">
        <v>0.0212</v>
      </c>
    </row>
    <row r="42" spans="1:2" ht="13.5" thickBot="1">
      <c r="A42" s="220">
        <v>44166</v>
      </c>
      <c r="B42" s="221">
        <v>0.0198</v>
      </c>
    </row>
    <row r="43" spans="1:2" ht="13.5" thickBot="1">
      <c r="A43" s="220">
        <v>44197</v>
      </c>
      <c r="B43" s="221">
        <v>0.0186</v>
      </c>
    </row>
    <row r="44" spans="1:2" ht="13.5" thickBot="1">
      <c r="A44" s="220">
        <v>44228</v>
      </c>
      <c r="B44" s="221">
        <v>0.0181</v>
      </c>
    </row>
    <row r="45" spans="1:2" ht="13.5" thickBot="1">
      <c r="A45" s="220">
        <v>44256</v>
      </c>
      <c r="B45" s="221">
        <v>0.0171</v>
      </c>
    </row>
    <row r="46" spans="1:2" ht="13.5" thickBot="1">
      <c r="A46" s="220">
        <v>44287</v>
      </c>
      <c r="B46" s="221">
        <v>0.0172</v>
      </c>
    </row>
    <row r="47" spans="1:2" ht="13.5" thickBot="1">
      <c r="A47" s="220">
        <v>44317</v>
      </c>
      <c r="B47" s="221">
        <v>0.0173</v>
      </c>
    </row>
    <row r="48" spans="1:2" ht="13.5" thickBot="1">
      <c r="A48" s="220">
        <v>44348</v>
      </c>
      <c r="B48" s="221">
        <v>0.0166</v>
      </c>
    </row>
    <row r="49" spans="1:2" ht="13.5" thickBot="1">
      <c r="A49" s="220">
        <v>44378</v>
      </c>
      <c r="B49" s="221">
        <v>0.0171</v>
      </c>
    </row>
    <row r="50" spans="1:2" ht="13.5" thickBot="1">
      <c r="A50" s="220">
        <v>44409</v>
      </c>
      <c r="B50" s="221">
        <v>0.0173</v>
      </c>
    </row>
    <row r="51" spans="1:2" ht="13.5" thickBot="1">
      <c r="A51" s="220">
        <v>44440</v>
      </c>
      <c r="B51" s="221">
        <v>0.0173</v>
      </c>
    </row>
    <row r="52" spans="1:2" ht="13.5" thickBot="1">
      <c r="A52" s="220">
        <v>44470</v>
      </c>
      <c r="B52" s="221">
        <v>0.0197</v>
      </c>
    </row>
    <row r="53" spans="1:2" ht="13.5" thickBot="1">
      <c r="A53" s="220">
        <v>44501</v>
      </c>
      <c r="B53" s="221">
        <v>0.0235</v>
      </c>
    </row>
    <row r="54" spans="1:2" ht="13.5" thickBot="1">
      <c r="A54" s="220">
        <v>44531</v>
      </c>
      <c r="B54" s="221">
        <v>0.0274</v>
      </c>
    </row>
    <row r="55" spans="1:2" ht="13.5" thickBot="1">
      <c r="A55" s="220">
        <v>44562</v>
      </c>
      <c r="B55" s="221">
        <v>0.0319</v>
      </c>
    </row>
    <row r="56" spans="1:2" ht="13.5" thickBot="1">
      <c r="A56" s="220">
        <v>44593</v>
      </c>
      <c r="B56" s="221">
        <v>0.0427</v>
      </c>
    </row>
    <row r="57" spans="1:2" ht="13.5" thickBot="1">
      <c r="A57" s="220">
        <v>44621</v>
      </c>
      <c r="B57" s="221">
        <v>0.0437</v>
      </c>
    </row>
    <row r="58" spans="1:2" ht="13.5" thickBot="1">
      <c r="A58" s="220">
        <v>44652</v>
      </c>
      <c r="B58" s="221">
        <v>0.0563</v>
      </c>
    </row>
    <row r="59" spans="1:2" ht="13.5" thickBot="1">
      <c r="A59" s="220">
        <v>44682</v>
      </c>
      <c r="B59" s="221">
        <v>0.0695</v>
      </c>
    </row>
    <row r="60" spans="1:2" ht="13.5" thickBot="1">
      <c r="A60" s="220">
        <v>44713</v>
      </c>
      <c r="B60" s="221">
        <v>0.0755</v>
      </c>
    </row>
    <row r="61" spans="1:2" ht="13.5" thickBot="1">
      <c r="A61" s="220">
        <v>44743</v>
      </c>
      <c r="B61" s="221">
        <v>0.09</v>
      </c>
    </row>
    <row r="62" spans="1:2" ht="13.5" thickBot="1">
      <c r="A62" s="220">
        <v>44774</v>
      </c>
      <c r="B62" s="221">
        <v>0.1076</v>
      </c>
    </row>
    <row r="63" spans="1:2" ht="13.5" thickBot="1">
      <c r="A63" s="220">
        <v>44805</v>
      </c>
      <c r="B63" s="221">
        <v>0.1105</v>
      </c>
    </row>
    <row r="64" spans="1:2" ht="13.5" thickBot="1">
      <c r="A64" s="220">
        <v>44835</v>
      </c>
      <c r="B64" s="221">
        <v>0.1262</v>
      </c>
    </row>
    <row r="65" spans="1:2" ht="13.5" thickBot="1">
      <c r="A65" s="220">
        <v>44866</v>
      </c>
      <c r="B65" s="221">
        <v>0.1383</v>
      </c>
    </row>
    <row r="66" spans="1:2" ht="13.5" thickBot="1">
      <c r="A66" s="220">
        <v>44896</v>
      </c>
      <c r="B66" s="221">
        <v>0.1452</v>
      </c>
    </row>
    <row r="67" spans="1:2" ht="13.5" thickBot="1">
      <c r="A67" s="220">
        <v>44927</v>
      </c>
      <c r="B67" s="221">
        <v>0.1547</v>
      </c>
    </row>
    <row r="68" spans="1:2" ht="13.5" thickBot="1">
      <c r="A68" s="220">
        <v>44958</v>
      </c>
      <c r="B68" s="221">
        <v>0.1624</v>
      </c>
    </row>
    <row r="69" spans="1:2" ht="13.5" thickBot="1">
      <c r="A69" s="220">
        <v>44986</v>
      </c>
      <c r="B69" s="221">
        <v>0.1568</v>
      </c>
    </row>
    <row r="70" spans="1:2" ht="13.5" thickBot="1">
      <c r="A70" s="220">
        <v>45017</v>
      </c>
      <c r="B70" s="221">
        <v>0.1461</v>
      </c>
    </row>
    <row r="71" spans="1:2" ht="13.5" thickBot="1">
      <c r="A71" s="220">
        <v>45047</v>
      </c>
      <c r="B71" s="221">
        <v>0.1263</v>
      </c>
    </row>
    <row r="72" spans="1:2" ht="13.5" thickBot="1">
      <c r="A72" s="220">
        <v>45078</v>
      </c>
      <c r="B72" s="221">
        <v>0.1343</v>
      </c>
    </row>
    <row r="73" spans="1:2" ht="13.5" thickBot="1">
      <c r="A73" s="220">
        <v>45108</v>
      </c>
      <c r="B73" s="221">
        <v>0.1392</v>
      </c>
    </row>
    <row r="74" spans="1:2" ht="13.5" thickBot="1">
      <c r="A74" s="220">
        <v>45139</v>
      </c>
      <c r="B74" s="221" t="s">
        <v>237</v>
      </c>
    </row>
    <row r="75" spans="1:2" ht="13.5" thickBot="1">
      <c r="A75" s="220">
        <v>45170</v>
      </c>
      <c r="B75" s="221" t="s">
        <v>238</v>
      </c>
    </row>
    <row r="76" spans="1:2" ht="13.5" thickBot="1">
      <c r="A76" s="220">
        <v>45200</v>
      </c>
      <c r="B76" s="221">
        <v>0.1401</v>
      </c>
    </row>
    <row r="77" spans="1:2" ht="13.5" thickBot="1">
      <c r="A77" s="220">
        <v>45231</v>
      </c>
      <c r="B77" s="221">
        <v>0.1415</v>
      </c>
    </row>
    <row r="78" spans="1:2" ht="13.5" thickBot="1">
      <c r="A78" s="220">
        <v>45261</v>
      </c>
      <c r="B78" s="221">
        <v>0.1371</v>
      </c>
    </row>
    <row r="79" spans="1:2" ht="13.5" thickBot="1">
      <c r="A79" s="220">
        <v>45292</v>
      </c>
      <c r="B79" s="221">
        <v>0.1323</v>
      </c>
    </row>
    <row r="80" spans="1:2" ht="13.5" thickBot="1">
      <c r="A80" s="220">
        <v>45323</v>
      </c>
      <c r="B80" s="221">
        <v>0.1259</v>
      </c>
    </row>
    <row r="81" spans="1:2" ht="13.5" thickBot="1">
      <c r="A81" s="220">
        <v>45352</v>
      </c>
      <c r="B81" s="221">
        <v>0.12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5"/>
  <sheetViews>
    <sheetView zoomScale="110" zoomScaleNormal="110" zoomScalePageLayoutView="0" workbookViewId="0" topLeftCell="A19">
      <selection activeCell="B37" sqref="B37"/>
    </sheetView>
  </sheetViews>
  <sheetFormatPr defaultColWidth="11.421875" defaultRowHeight="12.75"/>
  <cols>
    <col min="1" max="1" width="30.7109375" style="0" customWidth="1"/>
    <col min="2" max="2" width="28.7109375" style="0" customWidth="1"/>
    <col min="3" max="3" width="15.57421875" style="0" customWidth="1"/>
    <col min="4" max="4" width="18.8515625" style="0" customWidth="1"/>
    <col min="5" max="5" width="26.7109375" style="35" customWidth="1"/>
  </cols>
  <sheetData>
    <row r="2" spans="1:3" ht="18">
      <c r="A2" s="30" t="s">
        <v>68</v>
      </c>
      <c r="B2" s="5"/>
      <c r="C2" s="5"/>
    </row>
    <row r="3" spans="1:3" ht="15.75">
      <c r="A3" s="95" t="s">
        <v>0</v>
      </c>
      <c r="B3" s="5"/>
      <c r="C3" s="5"/>
    </row>
    <row r="4" spans="1:3" ht="12.75">
      <c r="A4" s="6" t="s">
        <v>69</v>
      </c>
      <c r="B4" s="5"/>
      <c r="C4" s="5"/>
    </row>
    <row r="5" spans="1:3" ht="12.75">
      <c r="A5" s="6" t="s">
        <v>70</v>
      </c>
      <c r="B5" s="6"/>
      <c r="C5" s="5"/>
    </row>
    <row r="6" spans="1:3" ht="13.5" thickBot="1">
      <c r="A6" s="5"/>
      <c r="B6" s="5"/>
      <c r="C6" s="5"/>
    </row>
    <row r="7" spans="1:3" ht="13.5" thickBot="1">
      <c r="A7" s="159" t="s">
        <v>3</v>
      </c>
      <c r="B7" s="207" t="s">
        <v>71</v>
      </c>
      <c r="C7" s="208" t="s">
        <v>5</v>
      </c>
    </row>
    <row r="8" ht="13.5" thickBot="1">
      <c r="B8" s="1"/>
    </row>
    <row r="9" spans="1:5" ht="12.75">
      <c r="A9" s="121" t="s">
        <v>72</v>
      </c>
      <c r="B9" s="144">
        <v>5011671201.99</v>
      </c>
      <c r="C9" s="123">
        <f aca="true" t="shared" si="0" ref="C9:C19">+B9/$B$41</f>
        <v>0.04376396446455151</v>
      </c>
      <c r="D9" s="124"/>
      <c r="E9" s="187">
        <v>1541025867.87</v>
      </c>
    </row>
    <row r="10" spans="1:5" ht="12.75">
      <c r="A10" s="125" t="s">
        <v>73</v>
      </c>
      <c r="B10" s="145">
        <v>8289638334.54</v>
      </c>
      <c r="C10" s="127">
        <f t="shared" si="0"/>
        <v>0.07238851530258797</v>
      </c>
      <c r="E10" s="35">
        <v>-1541025867.87</v>
      </c>
    </row>
    <row r="11" spans="1:5" ht="12.75">
      <c r="A11" s="125" t="s">
        <v>74</v>
      </c>
      <c r="B11" s="145">
        <v>2224081100.84</v>
      </c>
      <c r="C11" s="127">
        <f t="shared" si="0"/>
        <v>0.019421586600651977</v>
      </c>
      <c r="E11" s="35">
        <f>SUM(E9:E10)</f>
        <v>0</v>
      </c>
    </row>
    <row r="12" spans="1:3" ht="12.75">
      <c r="A12" s="125" t="s">
        <v>75</v>
      </c>
      <c r="B12" s="145">
        <v>1340941105.46</v>
      </c>
      <c r="C12" s="127">
        <f t="shared" si="0"/>
        <v>0.011709646647430835</v>
      </c>
    </row>
    <row r="13" spans="1:3" ht="12.75">
      <c r="A13" s="125" t="s">
        <v>76</v>
      </c>
      <c r="B13" s="145">
        <v>2024294769.95</v>
      </c>
      <c r="C13" s="127">
        <f t="shared" si="0"/>
        <v>0.017676970576739375</v>
      </c>
    </row>
    <row r="14" spans="1:3" ht="12.75">
      <c r="A14" s="125" t="s">
        <v>77</v>
      </c>
      <c r="B14" s="145">
        <v>3093086296.73</v>
      </c>
      <c r="C14" s="127">
        <f t="shared" si="0"/>
        <v>0.027010095698642975</v>
      </c>
    </row>
    <row r="15" spans="1:3" ht="12.75">
      <c r="A15" s="125" t="s">
        <v>78</v>
      </c>
      <c r="B15" s="145">
        <v>6173598134.66</v>
      </c>
      <c r="C15" s="127">
        <f t="shared" si="0"/>
        <v>0.053910386075686705</v>
      </c>
    </row>
    <row r="16" spans="1:3" ht="12.75">
      <c r="A16" s="125" t="s">
        <v>79</v>
      </c>
      <c r="B16" s="145">
        <v>0</v>
      </c>
      <c r="C16" s="127">
        <f t="shared" si="0"/>
        <v>0</v>
      </c>
    </row>
    <row r="17" spans="1:3" ht="12.75">
      <c r="A17" s="125" t="s">
        <v>80</v>
      </c>
      <c r="B17" s="145">
        <v>0</v>
      </c>
      <c r="C17" s="127">
        <f t="shared" si="0"/>
        <v>0</v>
      </c>
    </row>
    <row r="18" spans="1:3" ht="12.75">
      <c r="A18" s="125" t="s">
        <v>81</v>
      </c>
      <c r="B18" s="145">
        <v>22143032687.18</v>
      </c>
      <c r="C18" s="127">
        <f t="shared" si="0"/>
        <v>0.19336202568004815</v>
      </c>
    </row>
    <row r="19" spans="1:3" ht="13.5" thickBot="1">
      <c r="A19" s="129" t="s">
        <v>82</v>
      </c>
      <c r="B19" s="145">
        <v>9519583012.77</v>
      </c>
      <c r="C19" s="127">
        <f t="shared" si="0"/>
        <v>0.08312889571103309</v>
      </c>
    </row>
    <row r="20" spans="1:5" s="2" customFormat="1" ht="13.5" thickBot="1">
      <c r="A20" s="141" t="s">
        <v>24</v>
      </c>
      <c r="B20" s="142">
        <f>SUM(B9:B19)</f>
        <v>59819926644.119995</v>
      </c>
      <c r="C20" s="181">
        <f>SUM(C9:C19)</f>
        <v>0.5223720867573726</v>
      </c>
      <c r="E20" s="182"/>
    </row>
    <row r="21" ht="13.5" thickBot="1"/>
    <row r="22" spans="1:3" ht="12.75" hidden="1">
      <c r="A22" s="121" t="s">
        <v>83</v>
      </c>
      <c r="B22" s="144"/>
      <c r="C22" s="123">
        <f>+B22/$B$41</f>
        <v>0</v>
      </c>
    </row>
    <row r="23" spans="1:3" ht="12.75">
      <c r="A23" s="15" t="s">
        <v>84</v>
      </c>
      <c r="B23" s="82">
        <v>3054898305.39</v>
      </c>
      <c r="C23" s="188">
        <f>+B23/$B$41</f>
        <v>0.026676622525998936</v>
      </c>
    </row>
    <row r="24" spans="1:3" ht="12.75" hidden="1">
      <c r="A24" s="22" t="s">
        <v>85</v>
      </c>
      <c r="B24" s="189"/>
      <c r="C24" s="190">
        <f>+B24/$B$41</f>
        <v>0</v>
      </c>
    </row>
    <row r="25" spans="1:3" ht="13.5" thickBot="1">
      <c r="A25" s="191" t="s">
        <v>86</v>
      </c>
      <c r="B25" s="67">
        <v>6323400780.88</v>
      </c>
      <c r="C25" s="192">
        <f>+B25/$B$41</f>
        <v>0.0552185241042279</v>
      </c>
    </row>
    <row r="26" spans="1:3" ht="13.5" hidden="1" thickBot="1">
      <c r="A26" s="174" t="s">
        <v>87</v>
      </c>
      <c r="B26" s="145"/>
      <c r="C26" s="127">
        <f>+B26/$B$41</f>
        <v>0</v>
      </c>
    </row>
    <row r="27" spans="1:3" ht="13.5" thickBot="1">
      <c r="A27" s="141" t="s">
        <v>30</v>
      </c>
      <c r="B27" s="142">
        <f>SUM(B22:B26)</f>
        <v>9378299086.27</v>
      </c>
      <c r="C27" s="143">
        <f>SUM(C22:C26)</f>
        <v>0.08189514663022684</v>
      </c>
    </row>
    <row r="28" ht="13.5" thickBot="1"/>
    <row r="29" spans="1:3" ht="12.75">
      <c r="A29" s="121" t="s">
        <v>88</v>
      </c>
      <c r="B29" s="144">
        <v>2914772196.17</v>
      </c>
      <c r="C29" s="123">
        <f>+B29/B41</f>
        <v>0.025452983979634424</v>
      </c>
    </row>
    <row r="30" spans="1:3" ht="12.75">
      <c r="A30" s="125" t="s">
        <v>89</v>
      </c>
      <c r="B30" s="193">
        <v>2525435681.47</v>
      </c>
      <c r="C30" s="127">
        <f>+B30/B41</f>
        <v>0.022053138158280968</v>
      </c>
    </row>
    <row r="31" spans="1:3" ht="12.75">
      <c r="A31" s="125" t="s">
        <v>90</v>
      </c>
      <c r="B31" s="193">
        <v>26633905708.68</v>
      </c>
      <c r="C31" s="127">
        <f>+B31/B41</f>
        <v>0.2325781672437044</v>
      </c>
    </row>
    <row r="32" spans="1:3" ht="13.5" thickBot="1">
      <c r="A32" s="125" t="s">
        <v>91</v>
      </c>
      <c r="B32" s="145"/>
      <c r="C32" s="127">
        <f>+B32/B41</f>
        <v>0</v>
      </c>
    </row>
    <row r="33" spans="1:3" ht="13.5" thickBot="1">
      <c r="A33" s="152" t="s">
        <v>92</v>
      </c>
      <c r="B33" s="153">
        <f>SUM(B29:B32)</f>
        <v>32074113586.32</v>
      </c>
      <c r="C33" s="143">
        <f>SUM(C29:C32)</f>
        <v>0.2800842893816198</v>
      </c>
    </row>
    <row r="34" spans="1:3" ht="13.5" thickBot="1">
      <c r="A34" s="149"/>
      <c r="B34" s="150"/>
      <c r="C34" s="151"/>
    </row>
    <row r="35" spans="1:3" ht="13.5" thickBot="1">
      <c r="A35" s="179" t="s">
        <v>93</v>
      </c>
      <c r="B35" s="157">
        <v>0</v>
      </c>
      <c r="C35" s="158">
        <f>+B35/B41</f>
        <v>0</v>
      </c>
    </row>
    <row r="36" ht="13.5" thickBot="1"/>
    <row r="37" spans="1:3" ht="13.5" thickBot="1">
      <c r="A37" s="138" t="s">
        <v>94</v>
      </c>
      <c r="B37" s="157">
        <v>13243593216.08</v>
      </c>
      <c r="C37" s="158">
        <f>+B37/B41</f>
        <v>0.11564847723078085</v>
      </c>
    </row>
    <row r="38" spans="1:3" ht="13.5" thickBot="1">
      <c r="A38" s="32"/>
      <c r="B38" s="31"/>
      <c r="C38" s="156"/>
    </row>
    <row r="39" spans="1:3" ht="13.5" thickBot="1">
      <c r="A39" s="138" t="s">
        <v>95</v>
      </c>
      <c r="B39" s="157">
        <v>0</v>
      </c>
      <c r="C39" s="158">
        <f>+B39/B41</f>
        <v>0</v>
      </c>
    </row>
    <row r="40" ht="13.5" thickBot="1"/>
    <row r="41" spans="1:5" ht="13.5" thickBot="1">
      <c r="A41" s="159" t="s">
        <v>41</v>
      </c>
      <c r="B41" s="160">
        <f>+B39+B38+B35+B33+B27+B20+B37</f>
        <v>114515932532.79</v>
      </c>
      <c r="C41" s="161">
        <f>+C39+C38+C35+C33+C27+C20+C37</f>
        <v>1</v>
      </c>
      <c r="E41"/>
    </row>
    <row r="42" ht="12.75">
      <c r="E42"/>
    </row>
    <row r="43" ht="12.75">
      <c r="A43" s="116" t="s">
        <v>96</v>
      </c>
    </row>
    <row r="44" ht="13.5" thickBot="1">
      <c r="B44" s="1"/>
    </row>
    <row r="45" spans="1:3" ht="13.5" thickBot="1">
      <c r="A45" s="118" t="s">
        <v>43</v>
      </c>
      <c r="B45" s="118" t="s">
        <v>44</v>
      </c>
      <c r="C45" s="120" t="s">
        <v>45</v>
      </c>
    </row>
    <row r="46" ht="13.5" thickBot="1"/>
    <row r="47" spans="1:3" ht="12.75">
      <c r="A47" s="121" t="s">
        <v>18</v>
      </c>
      <c r="B47" s="122">
        <v>1541025867.87</v>
      </c>
      <c r="C47" s="123">
        <f>+B47/$B$50</f>
        <v>0.9992143538374527</v>
      </c>
    </row>
    <row r="48" spans="1:3" ht="13.5" thickBot="1">
      <c r="A48" s="146" t="s">
        <v>97</v>
      </c>
      <c r="B48" s="130">
        <v>1211652.99</v>
      </c>
      <c r="C48" s="131">
        <f>+B48/$B$50</f>
        <v>0.0007856461625472219</v>
      </c>
    </row>
    <row r="49" spans="2:3" ht="13.5" thickBot="1">
      <c r="B49" s="35"/>
      <c r="C49" s="162"/>
    </row>
    <row r="50" spans="1:5" ht="13.5" thickBot="1">
      <c r="A50" s="163" t="s">
        <v>41</v>
      </c>
      <c r="B50" s="157">
        <f>SUM(B47:B49)</f>
        <v>1542237520.86</v>
      </c>
      <c r="C50" s="158">
        <f>SUM(C47:C49)</f>
        <v>0.9999999999999999</v>
      </c>
      <c r="D50" s="1"/>
      <c r="E50" s="35">
        <f>B41+B50</f>
        <v>116058170053.65</v>
      </c>
    </row>
    <row r="51" ht="12.75">
      <c r="B51" s="1"/>
    </row>
    <row r="52" ht="12.75">
      <c r="B52" s="117" t="s">
        <v>50</v>
      </c>
    </row>
    <row r="53" spans="2:5" ht="13.5" thickBot="1">
      <c r="B53" s="164"/>
      <c r="E53" s="35">
        <v>6043470216.72</v>
      </c>
    </row>
    <row r="54" spans="1:5" ht="13.5" thickBot="1">
      <c r="A54" s="194" t="s">
        <v>51</v>
      </c>
      <c r="B54" s="119" t="s">
        <v>98</v>
      </c>
      <c r="C54" s="120" t="s">
        <v>5</v>
      </c>
      <c r="E54" s="35">
        <v>2209753161.13</v>
      </c>
    </row>
    <row r="55" spans="1:5" ht="12.75">
      <c r="A55" s="125" t="s">
        <v>99</v>
      </c>
      <c r="B55" s="195"/>
      <c r="C55" s="127">
        <f aca="true" t="shared" si="1" ref="C55:C60">B55/$B$61</f>
        <v>0</v>
      </c>
      <c r="E55" s="35">
        <v>3390822315.37</v>
      </c>
    </row>
    <row r="56" spans="1:5" ht="12.75">
      <c r="A56" s="125" t="s">
        <v>54</v>
      </c>
      <c r="B56" s="195">
        <v>2914772196.17</v>
      </c>
      <c r="C56" s="127">
        <f t="shared" si="1"/>
        <v>0.025452983979634424</v>
      </c>
      <c r="E56" s="35">
        <v>1599547522.86</v>
      </c>
    </row>
    <row r="57" spans="1:5" ht="12.75">
      <c r="A57" s="125" t="s">
        <v>56</v>
      </c>
      <c r="B57" s="195">
        <v>0</v>
      </c>
      <c r="C57" s="127">
        <f t="shared" si="1"/>
        <v>0</v>
      </c>
      <c r="D57" t="s">
        <v>100</v>
      </c>
      <c r="E57" s="182">
        <f>SUM(E53:E56)</f>
        <v>13243593216.080002</v>
      </c>
    </row>
    <row r="58" spans="1:3" ht="12.75">
      <c r="A58" s="125" t="s">
        <v>55</v>
      </c>
      <c r="B58" s="195">
        <v>13243593216.080002</v>
      </c>
      <c r="C58" s="127">
        <f t="shared" si="1"/>
        <v>0.11564847723078087</v>
      </c>
    </row>
    <row r="59" spans="1:5" ht="12.75">
      <c r="A59" s="125" t="s">
        <v>52</v>
      </c>
      <c r="B59" s="195">
        <v>98357567120.54</v>
      </c>
      <c r="C59" s="127">
        <f t="shared" si="1"/>
        <v>0.8588985387895848</v>
      </c>
      <c r="E59" s="35">
        <v>81219092323.65</v>
      </c>
    </row>
    <row r="60" spans="1:5" ht="13.5" thickBot="1">
      <c r="A60" s="125" t="s">
        <v>101</v>
      </c>
      <c r="B60" s="128">
        <v>0</v>
      </c>
      <c r="C60" s="127">
        <f t="shared" si="1"/>
        <v>0</v>
      </c>
      <c r="D60" s="1"/>
      <c r="E60" s="35">
        <v>10815074016.01</v>
      </c>
    </row>
    <row r="61" spans="1:5" ht="13.5" thickBot="1">
      <c r="A61" s="118" t="s">
        <v>49</v>
      </c>
      <c r="B61" s="211">
        <f>SUM(B55:B60)</f>
        <v>114515932532.79</v>
      </c>
      <c r="C61" s="212">
        <f>SUM(C55:C60)</f>
        <v>1</v>
      </c>
      <c r="D61" s="1"/>
      <c r="E61" s="35">
        <v>6323400780.88</v>
      </c>
    </row>
    <row r="62" spans="2:5" ht="12.75">
      <c r="B62" s="1"/>
      <c r="C62" s="172"/>
      <c r="D62" t="s">
        <v>102</v>
      </c>
      <c r="E62" s="182">
        <f>SUM(E59:E61)</f>
        <v>98357567120.54</v>
      </c>
    </row>
    <row r="63" spans="2:3" ht="12.75">
      <c r="B63" s="2" t="s">
        <v>57</v>
      </c>
      <c r="C63" s="172"/>
    </row>
    <row r="64" spans="3:5" ht="13.5" thickBot="1">
      <c r="C64" s="172"/>
      <c r="E64" s="35">
        <f>B41-B61</f>
        <v>0</v>
      </c>
    </row>
    <row r="65" spans="1:3" ht="13.5" thickBot="1">
      <c r="A65" s="118" t="s">
        <v>103</v>
      </c>
      <c r="B65" s="119" t="s">
        <v>71</v>
      </c>
      <c r="C65" s="120" t="s">
        <v>5</v>
      </c>
    </row>
    <row r="66" ht="13.5" thickBot="1">
      <c r="C66" s="172"/>
    </row>
    <row r="67" spans="1:3" ht="12.75">
      <c r="A67" s="121" t="s">
        <v>104</v>
      </c>
      <c r="B67" s="122">
        <v>0</v>
      </c>
      <c r="C67" s="123">
        <f>+B67/B80</f>
        <v>0</v>
      </c>
    </row>
    <row r="68" spans="1:3" ht="12.75">
      <c r="A68" s="125" t="s">
        <v>105</v>
      </c>
      <c r="B68" s="128">
        <f>1542237520.86-B50</f>
        <v>0</v>
      </c>
      <c r="C68" s="127">
        <f>+B68/B80</f>
        <v>0</v>
      </c>
    </row>
    <row r="69" spans="1:3" ht="12.75">
      <c r="A69" s="125" t="s">
        <v>106</v>
      </c>
      <c r="B69" s="128">
        <v>67534328712.98</v>
      </c>
      <c r="C69" s="127">
        <f>+B69/B80</f>
        <v>0.5819006855076297</v>
      </c>
    </row>
    <row r="70" spans="1:3" ht="12.75">
      <c r="A70" s="125" t="s">
        <v>107</v>
      </c>
      <c r="B70" s="128">
        <v>10499105239.4</v>
      </c>
      <c r="C70" s="127">
        <f>+B70/B80</f>
        <v>0.09046416322561865</v>
      </c>
    </row>
    <row r="71" spans="1:3" ht="12.75">
      <c r="A71" s="196" t="s">
        <v>108</v>
      </c>
      <c r="B71" s="128">
        <v>25152973217.68</v>
      </c>
      <c r="C71" s="127">
        <f>+B71/B80</f>
        <v>0.21672729464933474</v>
      </c>
    </row>
    <row r="72" spans="1:3" ht="12.75">
      <c r="A72" s="197" t="s">
        <v>109</v>
      </c>
      <c r="B72" s="128">
        <v>9119772201.7</v>
      </c>
      <c r="C72" s="127">
        <f>+B72/B80</f>
        <v>0.07857932102052118</v>
      </c>
    </row>
    <row r="73" spans="1:3" ht="13.5" thickBot="1">
      <c r="A73" s="197" t="s">
        <v>110</v>
      </c>
      <c r="B73" s="128">
        <v>2209753161.03</v>
      </c>
      <c r="C73" s="127">
        <f>+B73/B80</f>
        <v>0.019040048279311158</v>
      </c>
    </row>
    <row r="74" spans="1:3" ht="12.75" hidden="1">
      <c r="A74" s="197" t="s">
        <v>111</v>
      </c>
      <c r="B74" s="128"/>
      <c r="C74" s="127">
        <f>+B74/B80</f>
        <v>0</v>
      </c>
    </row>
    <row r="75" spans="1:3" ht="13.5" hidden="1" thickBot="1">
      <c r="A75" s="63" t="s">
        <v>112</v>
      </c>
      <c r="B75" s="130"/>
      <c r="C75" s="131">
        <f>+B75/B80</f>
        <v>0</v>
      </c>
    </row>
    <row r="76" spans="1:3" ht="13.5" thickBot="1">
      <c r="A76" s="217" t="s">
        <v>113</v>
      </c>
      <c r="B76" s="211">
        <f>SUM(B67:B75)</f>
        <v>114515932532.79</v>
      </c>
      <c r="C76" s="161">
        <f>SUM(C67:C75)</f>
        <v>0.9867115126824155</v>
      </c>
    </row>
    <row r="77" spans="1:3" ht="13.5" thickBot="1">
      <c r="A77" s="176"/>
      <c r="B77" s="177"/>
      <c r="C77" s="178"/>
    </row>
    <row r="78" spans="1:3" ht="13.5" thickBot="1">
      <c r="A78" s="179" t="s">
        <v>114</v>
      </c>
      <c r="B78" s="180">
        <f>B50</f>
        <v>1542237520.86</v>
      </c>
      <c r="C78" s="158">
        <f>+B78/B80</f>
        <v>0.013288487317584557</v>
      </c>
    </row>
    <row r="79" spans="1:3" ht="13.5" thickBot="1">
      <c r="A79" s="176"/>
      <c r="B79" s="177"/>
      <c r="C79" s="178"/>
    </row>
    <row r="80" spans="1:3" ht="13.5" thickBot="1">
      <c r="A80" s="163" t="s">
        <v>49</v>
      </c>
      <c r="B80" s="180">
        <f>+B78+B76</f>
        <v>116058170053.65</v>
      </c>
      <c r="C80" s="158">
        <f>+C78+C76</f>
        <v>1</v>
      </c>
    </row>
    <row r="81" ht="12.75">
      <c r="B81" s="1"/>
    </row>
    <row r="82" spans="2:3" ht="12.75">
      <c r="B82" s="35"/>
      <c r="C82" s="198"/>
    </row>
    <row r="83" ht="12.75">
      <c r="B83" s="1"/>
    </row>
    <row r="84" ht="12.75">
      <c r="B84" s="1"/>
    </row>
    <row r="85" ht="12.75">
      <c r="B85" s="1"/>
    </row>
  </sheetData>
  <sheetProtection/>
  <printOptions horizontalCentered="1" verticalCentered="1"/>
  <pageMargins left="0.7874015748031497" right="0.7874015748031497" top="0.48" bottom="0.51" header="0.5118110236220472" footer="0.5118110236220472"/>
  <pageSetup fitToHeight="1" fitToWidth="1" horizontalDpi="120" verticalDpi="12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zoomScale="75" zoomScaleNormal="75" zoomScalePageLayoutView="0" workbookViewId="0" topLeftCell="A63">
      <selection activeCell="B75" sqref="B75"/>
    </sheetView>
  </sheetViews>
  <sheetFormatPr defaultColWidth="11.421875" defaultRowHeight="12.75"/>
  <cols>
    <col min="1" max="1" width="46.57421875" style="0" customWidth="1"/>
    <col min="2" max="2" width="20.57421875" style="0" customWidth="1"/>
    <col min="3" max="3" width="18.421875" style="0" customWidth="1"/>
    <col min="4" max="4" width="4.57421875" style="0" customWidth="1"/>
    <col min="5" max="5" width="26.00390625" style="0" customWidth="1"/>
    <col min="6" max="6" width="15.8515625" style="0" customWidth="1"/>
    <col min="7" max="7" width="11.7109375" style="0" customWidth="1"/>
    <col min="8" max="8" width="11.421875" style="0" customWidth="1"/>
    <col min="9" max="9" width="18.8515625" style="0" customWidth="1"/>
    <col min="10" max="11" width="16.28125" style="0" customWidth="1"/>
  </cols>
  <sheetData>
    <row r="1" spans="1:11" ht="15.75">
      <c r="A1" s="34" t="s">
        <v>68</v>
      </c>
      <c r="B1" s="95"/>
      <c r="C1" s="5"/>
      <c r="E1" s="4"/>
      <c r="K1" s="96">
        <v>424520027.36</v>
      </c>
    </row>
    <row r="2" spans="1:11" ht="12.75">
      <c r="A2" s="6"/>
      <c r="B2" s="5"/>
      <c r="C2" s="5"/>
      <c r="E2" s="4"/>
      <c r="K2" s="4">
        <v>1044775.73</v>
      </c>
    </row>
    <row r="3" spans="1:11" ht="12.75">
      <c r="A3" s="6" t="s">
        <v>117</v>
      </c>
      <c r="B3" s="5"/>
      <c r="C3" s="5"/>
      <c r="E3" s="4"/>
      <c r="I3" s="4">
        <v>63366.37</v>
      </c>
      <c r="K3" s="4">
        <v>50119062.72</v>
      </c>
    </row>
    <row r="4" spans="1:11" ht="12.75">
      <c r="A4" s="6" t="str">
        <f>+'prom.fiducol'!A4</f>
        <v>PORTAFOLIO ADMINISTRADO POR FIDUCOLOMBIA A NOVIEMBRE DE 2.000</v>
      </c>
      <c r="B4" s="5"/>
      <c r="C4" s="5"/>
      <c r="E4" s="4"/>
      <c r="F4" s="4"/>
      <c r="I4" s="4">
        <v>371464.67</v>
      </c>
      <c r="K4" s="4">
        <v>293735471.56</v>
      </c>
    </row>
    <row r="5" spans="1:11" ht="12.75">
      <c r="A5" s="6" t="s">
        <v>2</v>
      </c>
      <c r="B5" s="5"/>
      <c r="C5" s="5"/>
      <c r="E5" s="4"/>
      <c r="I5" s="4">
        <v>720914.07</v>
      </c>
      <c r="K5" s="4">
        <v>422362167.46</v>
      </c>
    </row>
    <row r="6" spans="1:11" ht="13.5" thickBot="1">
      <c r="A6" s="6"/>
      <c r="B6" s="5"/>
      <c r="E6" s="4"/>
      <c r="I6" s="4">
        <f>+I5+I4+I3</f>
        <v>1155745.11</v>
      </c>
      <c r="K6" s="4">
        <v>117346445</v>
      </c>
    </row>
    <row r="7" spans="1:11" ht="13.5" thickBot="1">
      <c r="A7" s="7" t="s">
        <v>3</v>
      </c>
      <c r="B7" s="21" t="s">
        <v>4</v>
      </c>
      <c r="C7" s="21" t="s">
        <v>5</v>
      </c>
      <c r="E7" s="4"/>
      <c r="K7" s="4">
        <v>2517385352.34</v>
      </c>
    </row>
    <row r="8" spans="1:11" ht="13.5" thickBot="1">
      <c r="A8" s="19"/>
      <c r="B8" s="3"/>
      <c r="E8" s="4"/>
      <c r="I8" s="4">
        <v>195823647.71</v>
      </c>
      <c r="K8" s="4">
        <v>7468874807.66</v>
      </c>
    </row>
    <row r="9" spans="1:11" s="45" customFormat="1" ht="12.75">
      <c r="A9" s="97" t="s">
        <v>118</v>
      </c>
      <c r="B9" s="59">
        <v>19695026653.99</v>
      </c>
      <c r="C9" s="98">
        <f aca="true" t="shared" si="0" ref="C9:C20">+B9/$B$34</f>
        <v>0.08895604462617368</v>
      </c>
      <c r="D9" s="44"/>
      <c r="E9" s="4" t="s">
        <v>39</v>
      </c>
      <c r="F9" s="4"/>
      <c r="I9" s="4">
        <v>1241865400</v>
      </c>
      <c r="K9" s="44">
        <v>13059740425.14</v>
      </c>
    </row>
    <row r="10" spans="1:11" s="45" customFormat="1" ht="12.75">
      <c r="A10" s="40" t="s">
        <v>119</v>
      </c>
      <c r="B10" s="41">
        <v>5017133005.07</v>
      </c>
      <c r="C10" s="42">
        <f t="shared" si="0"/>
        <v>0.02266076179206588</v>
      </c>
      <c r="D10" s="44"/>
      <c r="E10" s="4" t="s">
        <v>120</v>
      </c>
      <c r="F10" s="4"/>
      <c r="I10" s="4">
        <v>2163341.5</v>
      </c>
      <c r="K10" s="44">
        <v>3357052305.13</v>
      </c>
    </row>
    <row r="11" spans="1:11" s="45" customFormat="1" ht="12.75">
      <c r="A11" s="40" t="s">
        <v>121</v>
      </c>
      <c r="B11" s="41">
        <v>13218821856.08</v>
      </c>
      <c r="C11" s="42">
        <f t="shared" si="0"/>
        <v>0.059705128994921614</v>
      </c>
      <c r="D11"/>
      <c r="E11" s="44" t="s">
        <v>122</v>
      </c>
      <c r="F11" s="4"/>
      <c r="G11" s="44"/>
      <c r="I11" s="4">
        <v>25969009.11</v>
      </c>
      <c r="K11" s="44">
        <f>SUM(K1:K10)</f>
        <v>27712180840.100002</v>
      </c>
    </row>
    <row r="12" spans="1:11" s="45" customFormat="1" ht="12.75">
      <c r="A12" s="40" t="s">
        <v>123</v>
      </c>
      <c r="B12" s="41">
        <f>27159775978.71-6753001591.21</f>
        <v>20406774387.5</v>
      </c>
      <c r="C12" s="42">
        <f t="shared" si="0"/>
        <v>0.09217077818592068</v>
      </c>
      <c r="D12"/>
      <c r="E12" s="44" t="s">
        <v>124</v>
      </c>
      <c r="F12" s="4" t="s">
        <v>125</v>
      </c>
      <c r="G12" s="44"/>
      <c r="I12" s="44">
        <v>1136504583.36</v>
      </c>
      <c r="K12" s="44">
        <v>27712180840.1</v>
      </c>
    </row>
    <row r="13" spans="1:11" s="45" customFormat="1" ht="12.75">
      <c r="A13" s="40" t="s">
        <v>126</v>
      </c>
      <c r="B13" s="41">
        <v>23183720488.8</v>
      </c>
      <c r="C13" s="42">
        <f t="shared" si="0"/>
        <v>0.10471334264402345</v>
      </c>
      <c r="D13"/>
      <c r="E13" s="44" t="s">
        <v>127</v>
      </c>
      <c r="F13" s="4"/>
      <c r="I13" s="44">
        <v>21289632179.36</v>
      </c>
      <c r="K13" s="44"/>
    </row>
    <row r="14" spans="1:11" s="45" customFormat="1" ht="12.75">
      <c r="A14" s="40" t="s">
        <v>128</v>
      </c>
      <c r="B14" s="41">
        <v>2063435822.71</v>
      </c>
      <c r="C14" s="42">
        <f t="shared" si="0"/>
        <v>0.009319870054151455</v>
      </c>
      <c r="D14" s="43"/>
      <c r="E14" s="44" t="s">
        <v>129</v>
      </c>
      <c r="F14" s="4"/>
      <c r="I14" s="44">
        <v>2493235993.39</v>
      </c>
      <c r="K14" s="44">
        <f>+K10+K9</f>
        <v>16416792730.27</v>
      </c>
    </row>
    <row r="15" spans="1:11" s="45" customFormat="1" ht="12.75">
      <c r="A15" s="44" t="s">
        <v>130</v>
      </c>
      <c r="B15" s="41">
        <v>1049158824.79</v>
      </c>
      <c r="C15" s="42">
        <f t="shared" si="0"/>
        <v>0.004738709973720991</v>
      </c>
      <c r="D15" s="51"/>
      <c r="E15" s="44" t="s">
        <v>131</v>
      </c>
      <c r="F15" s="4"/>
      <c r="I15" s="44">
        <v>26385194154.43</v>
      </c>
      <c r="K15" s="45">
        <v>16423109293.75</v>
      </c>
    </row>
    <row r="16" spans="1:9" s="45" customFormat="1" ht="12.75">
      <c r="A16" s="40" t="s">
        <v>132</v>
      </c>
      <c r="B16" s="41">
        <v>3065998058.41</v>
      </c>
      <c r="C16" s="42">
        <f t="shared" si="0"/>
        <v>0.013848118354916152</v>
      </c>
      <c r="D16" s="51"/>
      <c r="E16" s="44" t="s">
        <v>133</v>
      </c>
      <c r="F16" s="4"/>
      <c r="I16" s="44"/>
    </row>
    <row r="17" spans="1:11" s="45" customFormat="1" ht="12.75">
      <c r="A17" s="40" t="s">
        <v>134</v>
      </c>
      <c r="B17" s="41">
        <f>11972449432.46-222300209.11</f>
        <v>11750149223.349998</v>
      </c>
      <c r="C17" s="42">
        <f t="shared" si="0"/>
        <v>0.05307161127729505</v>
      </c>
      <c r="D17" s="43"/>
      <c r="E17" s="44" t="s">
        <v>135</v>
      </c>
      <c r="F17" s="4"/>
      <c r="I17" s="44">
        <f>+I14+I13+I12+I11+I10+I9+I8</f>
        <v>26385194154.43</v>
      </c>
      <c r="J17" s="44">
        <f>+I17-I11-I10</f>
        <v>26357061803.82</v>
      </c>
      <c r="K17" s="44">
        <f>+K14-K15</f>
        <v>-6316563.479999542</v>
      </c>
    </row>
    <row r="18" spans="1:9" s="45" customFormat="1" ht="12.75">
      <c r="A18" s="40" t="s">
        <v>136</v>
      </c>
      <c r="B18" s="41">
        <v>7270420404.46</v>
      </c>
      <c r="C18" s="42">
        <f t="shared" si="0"/>
        <v>0.0328381298138108</v>
      </c>
      <c r="D18" s="43"/>
      <c r="E18" s="44" t="s">
        <v>137</v>
      </c>
      <c r="F18" s="4"/>
      <c r="I18" s="44">
        <f>+I17-I15</f>
        <v>0</v>
      </c>
    </row>
    <row r="19" spans="1:6" s="45" customFormat="1" ht="12.75">
      <c r="A19" s="40" t="s">
        <v>138</v>
      </c>
      <c r="B19" s="41">
        <v>2261444678.34</v>
      </c>
      <c r="C19" s="42">
        <f t="shared" si="0"/>
        <v>0.010214211803835326</v>
      </c>
      <c r="D19" s="43"/>
      <c r="E19" s="44" t="s">
        <v>139</v>
      </c>
      <c r="F19" s="4"/>
    </row>
    <row r="20" spans="1:6" s="45" customFormat="1" ht="12.75">
      <c r="A20" s="40" t="s">
        <v>140</v>
      </c>
      <c r="B20" s="41">
        <v>13733652702.35</v>
      </c>
      <c r="C20" s="42">
        <f t="shared" si="0"/>
        <v>0.06203045287187341</v>
      </c>
      <c r="D20" s="43"/>
      <c r="E20" s="44" t="s">
        <v>141</v>
      </c>
      <c r="F20" s="4"/>
    </row>
    <row r="21" spans="1:9" s="53" customFormat="1" ht="12.75">
      <c r="A21" s="46" t="s">
        <v>24</v>
      </c>
      <c r="B21" s="47">
        <f>SUM(B9:B20)</f>
        <v>122715736105.85002</v>
      </c>
      <c r="C21" s="48">
        <f>SUM(C9:C20)</f>
        <v>0.5542671603927085</v>
      </c>
      <c r="D21" s="45"/>
      <c r="E21" s="52" t="s">
        <v>142</v>
      </c>
      <c r="F21" s="4"/>
      <c r="I21" s="52" t="e">
        <f>+#REF!+#REF!</f>
        <v>#REF!</v>
      </c>
    </row>
    <row r="22" spans="1:6" s="45" customFormat="1" ht="12.75">
      <c r="A22" s="40" t="s">
        <v>26</v>
      </c>
      <c r="B22" s="41">
        <v>1005898137.82</v>
      </c>
      <c r="C22" s="42">
        <f>+B22/$B$34</f>
        <v>0.004543315488185597</v>
      </c>
      <c r="D22" s="43"/>
      <c r="E22" s="44" t="s">
        <v>143</v>
      </c>
      <c r="F22" s="4"/>
    </row>
    <row r="23" spans="1:6" s="45" customFormat="1" ht="12.75">
      <c r="A23" s="40" t="s">
        <v>28</v>
      </c>
      <c r="B23" s="41">
        <f>9144070582.78-4004575533.47</f>
        <v>5139495049.310001</v>
      </c>
      <c r="C23" s="42">
        <f>+B23/$B$34</f>
        <v>0.023213431441068782</v>
      </c>
      <c r="D23" s="43"/>
      <c r="E23" s="26" t="s">
        <v>144</v>
      </c>
      <c r="F23" s="4"/>
    </row>
    <row r="24" spans="1:6" s="53" customFormat="1" ht="12.75">
      <c r="A24" s="46" t="s">
        <v>30</v>
      </c>
      <c r="B24" s="47">
        <f>SUM(B22:B23)</f>
        <v>6145393187.130001</v>
      </c>
      <c r="C24" s="48">
        <f>SUM(C22:C23)</f>
        <v>0.02775674692925438</v>
      </c>
      <c r="D24" s="43"/>
      <c r="E24" s="4" t="s">
        <v>31</v>
      </c>
      <c r="F24" s="4"/>
    </row>
    <row r="25" spans="1:6" s="45" customFormat="1" ht="12.75">
      <c r="A25" s="40" t="s">
        <v>145</v>
      </c>
      <c r="B25" s="41">
        <v>3062228628.73</v>
      </c>
      <c r="C25" s="42">
        <f>+B25/$B$34</f>
        <v>0.013831093064180566</v>
      </c>
      <c r="D25" s="43"/>
      <c r="E25" s="52" t="s">
        <v>33</v>
      </c>
      <c r="F25" s="4"/>
    </row>
    <row r="26" spans="1:6" s="45" customFormat="1" ht="12.75">
      <c r="A26" s="40" t="s">
        <v>146</v>
      </c>
      <c r="B26" s="41">
        <v>26352492842.77</v>
      </c>
      <c r="C26" s="42">
        <f>+B26/$B$34</f>
        <v>0.1190256591431146</v>
      </c>
      <c r="E26" s="52"/>
      <c r="F26" s="4"/>
    </row>
    <row r="27" spans="1:6" s="45" customFormat="1" ht="12.75">
      <c r="A27" s="40" t="s">
        <v>147</v>
      </c>
      <c r="B27" s="41">
        <v>4561871441.02</v>
      </c>
      <c r="C27" s="42">
        <f>+B27/$B$34</f>
        <v>0.020604493033475047</v>
      </c>
      <c r="E27" s="52"/>
      <c r="F27" s="4"/>
    </row>
    <row r="28" spans="1:6" s="53" customFormat="1" ht="12.75">
      <c r="A28" s="46" t="s">
        <v>36</v>
      </c>
      <c r="B28" s="47">
        <f>SUM(B25:B27)</f>
        <v>33976592912.52</v>
      </c>
      <c r="C28" s="48">
        <f>SUM(C25:C27)</f>
        <v>0.1534612452407702</v>
      </c>
      <c r="E28" s="52"/>
      <c r="F28" s="4"/>
    </row>
    <row r="29" spans="1:6" s="53" customFormat="1" ht="12.75">
      <c r="A29" s="46" t="s">
        <v>115</v>
      </c>
      <c r="B29" s="47"/>
      <c r="C29" s="48">
        <f>+B29/$B$34</f>
        <v>0</v>
      </c>
      <c r="E29" s="52"/>
      <c r="F29" s="4"/>
    </row>
    <row r="30" spans="1:6" s="53" customFormat="1" ht="12.75">
      <c r="A30" s="46" t="s">
        <v>33</v>
      </c>
      <c r="B30" s="47">
        <v>3600696877.48</v>
      </c>
      <c r="C30" s="48">
        <f>+B30/$B$34</f>
        <v>0.016263179418116957</v>
      </c>
      <c r="E30" s="52"/>
      <c r="F30" s="4"/>
    </row>
    <row r="31" spans="1:6" s="53" customFormat="1" ht="12.75">
      <c r="A31" s="46" t="s">
        <v>148</v>
      </c>
      <c r="B31" s="47"/>
      <c r="C31" s="48">
        <f>+B31/$B$34</f>
        <v>0</v>
      </c>
      <c r="E31" s="52"/>
      <c r="F31" s="4"/>
    </row>
    <row r="32" spans="1:6" ht="12.75">
      <c r="A32" s="22" t="s">
        <v>149</v>
      </c>
      <c r="B32" s="47">
        <v>54963361276.7</v>
      </c>
      <c r="C32" s="48">
        <f>+B32/$B$34</f>
        <v>0.24825166801914972</v>
      </c>
      <c r="E32" s="4"/>
      <c r="F32" s="4"/>
    </row>
    <row r="33" spans="1:6" ht="13.5" thickBot="1">
      <c r="A33" s="22" t="s">
        <v>150</v>
      </c>
      <c r="B33" s="47"/>
      <c r="C33" s="48">
        <f>+B33/B34</f>
        <v>0</v>
      </c>
      <c r="E33" s="4"/>
      <c r="F33" s="4"/>
    </row>
    <row r="34" spans="1:6" ht="13.5" thickBot="1">
      <c r="A34" s="23" t="s">
        <v>116</v>
      </c>
      <c r="B34" s="12">
        <f>+B29+B28+B24+B21+B30+B31+B32+B33</f>
        <v>221401780359.68005</v>
      </c>
      <c r="C34" s="13">
        <f>+C29+C28+C24+C21+C30+C31+C32+C33</f>
        <v>0.9999999999999998</v>
      </c>
      <c r="E34" s="4"/>
      <c r="F34" s="4"/>
    </row>
    <row r="35" spans="1:6" ht="12.75">
      <c r="A35" s="19"/>
      <c r="B35" s="16"/>
      <c r="F35" s="4"/>
    </row>
    <row r="36" spans="1:6" ht="12.75">
      <c r="A36" s="2"/>
      <c r="B36" s="4"/>
      <c r="F36" s="4"/>
    </row>
    <row r="37" spans="1:6" ht="12.75">
      <c r="A37" s="6" t="s">
        <v>42</v>
      </c>
      <c r="B37" s="14"/>
      <c r="C37" s="5"/>
      <c r="F37" s="4"/>
    </row>
    <row r="38" spans="1:6" ht="13.5" thickBot="1">
      <c r="A38" s="2"/>
      <c r="F38" s="4"/>
    </row>
    <row r="39" spans="1:6" ht="13.5" thickBot="1">
      <c r="A39" s="11" t="s">
        <v>43</v>
      </c>
      <c r="B39" s="11" t="s">
        <v>44</v>
      </c>
      <c r="C39" s="11" t="s">
        <v>45</v>
      </c>
      <c r="F39" s="4"/>
    </row>
    <row r="40" ht="13.5" thickBot="1">
      <c r="A40" s="2"/>
    </row>
    <row r="41" spans="1:3" ht="12.75">
      <c r="A41" s="15" t="s">
        <v>46</v>
      </c>
      <c r="B41" s="59">
        <v>6753001591.21</v>
      </c>
      <c r="C41" s="99">
        <f>+B41/$B$46</f>
        <v>0.25511904162728594</v>
      </c>
    </row>
    <row r="42" spans="1:3" ht="12.75">
      <c r="A42" s="22" t="s">
        <v>18</v>
      </c>
      <c r="B42" s="100">
        <v>222300209.11</v>
      </c>
      <c r="C42" s="62">
        <f>+B42/$B$46</f>
        <v>0.008398193830652814</v>
      </c>
    </row>
    <row r="43" spans="1:3" ht="12.75">
      <c r="A43" s="22" t="s">
        <v>47</v>
      </c>
      <c r="B43" s="100">
        <v>4004575533.47</v>
      </c>
      <c r="C43" s="62">
        <f>+B43/$B$46</f>
        <v>0.1512873140075606</v>
      </c>
    </row>
    <row r="44" spans="1:3" ht="13.5" thickBot="1">
      <c r="A44" s="24" t="s">
        <v>48</v>
      </c>
      <c r="B44" s="101">
        <v>15490124858.66</v>
      </c>
      <c r="C44" s="65">
        <f>+B44/$B$46</f>
        <v>0.5851954505345008</v>
      </c>
    </row>
    <row r="45" spans="1:2" ht="13.5" thickBot="1">
      <c r="A45" s="2"/>
      <c r="B45" s="4"/>
    </row>
    <row r="46" spans="1:3" s="2" customFormat="1" ht="13.5" thickBot="1">
      <c r="A46" s="11" t="s">
        <v>41</v>
      </c>
      <c r="B46" s="12">
        <f>SUM(B41:B45)</f>
        <v>26470002192.449997</v>
      </c>
      <c r="C46" s="66">
        <f>SUM(C41:C45)</f>
        <v>1.0000000000000002</v>
      </c>
    </row>
    <row r="47" spans="1:6" ht="12.75">
      <c r="A47" s="2"/>
      <c r="B47" s="4"/>
      <c r="F47" s="4"/>
    </row>
    <row r="48" spans="1:3" ht="12.75">
      <c r="A48" s="6" t="s">
        <v>50</v>
      </c>
      <c r="B48" s="14"/>
      <c r="C48" s="5"/>
    </row>
    <row r="49" ht="13.5" thickBot="1">
      <c r="A49" s="2"/>
    </row>
    <row r="50" spans="1:6" ht="13.5" thickBot="1">
      <c r="A50" s="11" t="s">
        <v>51</v>
      </c>
      <c r="B50" s="11" t="s">
        <v>4</v>
      </c>
      <c r="C50" s="11" t="s">
        <v>5</v>
      </c>
      <c r="F50" s="4"/>
    </row>
    <row r="51" spans="1:6" ht="13.5" thickBot="1">
      <c r="A51" s="2"/>
      <c r="F51" s="4"/>
    </row>
    <row r="52" spans="1:6" ht="12.75">
      <c r="A52" s="102" t="s">
        <v>151</v>
      </c>
      <c r="B52" s="103">
        <v>158753629687.79</v>
      </c>
      <c r="C52" s="104">
        <f aca="true" t="shared" si="1" ref="C52:C57">+B52/$B$59</f>
        <v>0.7170386318930477</v>
      </c>
      <c r="D52" s="4"/>
      <c r="F52" s="4"/>
    </row>
    <row r="53" spans="1:6" ht="12.75">
      <c r="A53" s="105" t="s">
        <v>152</v>
      </c>
      <c r="B53" s="25">
        <v>3034933692.94</v>
      </c>
      <c r="C53" s="106">
        <f t="shared" si="1"/>
        <v>0.013707810696054812</v>
      </c>
      <c r="D53" s="4"/>
      <c r="F53" s="4"/>
    </row>
    <row r="54" spans="1:6" ht="12.75">
      <c r="A54" s="105" t="s">
        <v>153</v>
      </c>
      <c r="B54" s="25">
        <v>1049158824.84</v>
      </c>
      <c r="C54" s="106">
        <f t="shared" si="1"/>
        <v>0.004738709973946825</v>
      </c>
      <c r="D54" s="4"/>
      <c r="F54" s="4"/>
    </row>
    <row r="55" spans="1:6" ht="12.75">
      <c r="A55" s="105" t="s">
        <v>56</v>
      </c>
      <c r="B55" s="25"/>
      <c r="C55" s="106">
        <f t="shared" si="1"/>
        <v>0</v>
      </c>
      <c r="D55" s="4"/>
      <c r="F55" s="4"/>
    </row>
    <row r="56" spans="1:6" ht="12.75">
      <c r="A56" s="105" t="s">
        <v>55</v>
      </c>
      <c r="B56" s="25">
        <f>2202930994.56+2298047897.76+17406227293.58+3137291747.91+7181737253.27+2000039132.79+10752978609.94+7360068136.12+1954865374.8+116733508.75+552441327.16</f>
        <v>54963361276.640015</v>
      </c>
      <c r="C56" s="106">
        <f t="shared" si="1"/>
        <v>0.24825166801887885</v>
      </c>
      <c r="D56" s="4"/>
      <c r="F56" s="4"/>
    </row>
    <row r="57" spans="1:6" ht="13.5" thickBot="1">
      <c r="A57" s="56" t="s">
        <v>54</v>
      </c>
      <c r="B57" s="107">
        <v>3600696877.47</v>
      </c>
      <c r="C57" s="108">
        <f t="shared" si="1"/>
        <v>0.01626317941807179</v>
      </c>
      <c r="F57" s="4"/>
    </row>
    <row r="58" spans="1:6" ht="13.5" thickBot="1">
      <c r="A58" s="109"/>
      <c r="B58" s="57"/>
      <c r="C58" s="110"/>
      <c r="E58" s="2"/>
      <c r="F58" s="4"/>
    </row>
    <row r="59" spans="1:6" ht="13.5" thickBot="1">
      <c r="A59" s="11" t="s">
        <v>41</v>
      </c>
      <c r="B59" s="12">
        <f>SUM(B52:B57)</f>
        <v>221401780359.68002</v>
      </c>
      <c r="C59" s="13">
        <f>SUM(C52:C57)</f>
        <v>1.0000000000000002</v>
      </c>
      <c r="E59" s="4"/>
      <c r="F59" s="4"/>
    </row>
    <row r="60" spans="1:6" ht="12.75">
      <c r="A60" s="2"/>
      <c r="B60" s="16"/>
      <c r="F60" s="4"/>
    </row>
    <row r="61" spans="1:6" ht="12.75">
      <c r="A61" s="6" t="s">
        <v>57</v>
      </c>
      <c r="B61" s="14"/>
      <c r="C61" s="14"/>
      <c r="F61" s="4"/>
    </row>
    <row r="62" spans="1:6" ht="13.5" thickBot="1">
      <c r="A62" s="2"/>
      <c r="B62" s="4"/>
      <c r="C62" s="4"/>
      <c r="F62" s="4"/>
    </row>
    <row r="63" spans="1:6" ht="13.5" thickBot="1">
      <c r="A63" s="11" t="s">
        <v>58</v>
      </c>
      <c r="B63" s="11" t="s">
        <v>4</v>
      </c>
      <c r="C63" s="11" t="s">
        <v>5</v>
      </c>
      <c r="F63" s="4"/>
    </row>
    <row r="64" spans="1:6" ht="13.5" thickBot="1">
      <c r="A64" s="2"/>
      <c r="B64" s="4"/>
      <c r="C64" s="4"/>
      <c r="F64" s="4"/>
    </row>
    <row r="65" spans="1:6" ht="12.75">
      <c r="A65" s="111" t="s">
        <v>59</v>
      </c>
      <c r="B65" s="112">
        <v>0</v>
      </c>
      <c r="C65" s="9">
        <f aca="true" t="shared" si="2" ref="C65:C72">+B65/$B$75</f>
        <v>0</v>
      </c>
      <c r="F65" s="4"/>
    </row>
    <row r="66" spans="1:6" ht="12.75">
      <c r="A66" t="s">
        <v>60</v>
      </c>
      <c r="B66" s="39">
        <v>48789767299.59</v>
      </c>
      <c r="C66" s="10">
        <f t="shared" si="2"/>
        <v>0.19683469734732317</v>
      </c>
      <c r="F66" s="4"/>
    </row>
    <row r="67" spans="1:6" ht="12.75">
      <c r="A67" t="s">
        <v>61</v>
      </c>
      <c r="B67" s="39">
        <v>60165668397.86</v>
      </c>
      <c r="C67" s="10">
        <f t="shared" si="2"/>
        <v>0.24272899391122324</v>
      </c>
      <c r="F67" s="4"/>
    </row>
    <row r="68" spans="1:6" ht="12.75">
      <c r="A68" t="s">
        <v>62</v>
      </c>
      <c r="B68" s="39">
        <v>56751251301.21</v>
      </c>
      <c r="C68" s="10">
        <f t="shared" si="2"/>
        <v>0.22895406131706272</v>
      </c>
      <c r="F68" s="4"/>
    </row>
    <row r="69" spans="1:6" ht="12.75">
      <c r="A69" t="s">
        <v>63</v>
      </c>
      <c r="B69" s="39">
        <v>17165598158.3</v>
      </c>
      <c r="C69" s="10">
        <f t="shared" si="2"/>
        <v>0.06925192525571118</v>
      </c>
      <c r="F69" s="4"/>
    </row>
    <row r="70" spans="1:6" ht="12.75">
      <c r="A70" t="s">
        <v>64</v>
      </c>
      <c r="B70" s="39">
        <v>21617416140.05</v>
      </c>
      <c r="C70" s="10">
        <f t="shared" si="2"/>
        <v>0.08721208972426556</v>
      </c>
      <c r="F70" s="4"/>
    </row>
    <row r="71" spans="1:6" ht="12.75">
      <c r="A71" t="s">
        <v>65</v>
      </c>
      <c r="B71" s="39">
        <v>2835581710.65</v>
      </c>
      <c r="C71" s="10">
        <f t="shared" si="2"/>
        <v>0.011439711618056599</v>
      </c>
      <c r="E71" s="45"/>
      <c r="F71" s="4"/>
    </row>
    <row r="72" spans="1:6" s="2" customFormat="1" ht="13.5" thickBot="1">
      <c r="A72" s="45" t="s">
        <v>66</v>
      </c>
      <c r="B72" s="73">
        <v>14076497352.02</v>
      </c>
      <c r="C72" s="68">
        <f t="shared" si="2"/>
        <v>0.05678943043490467</v>
      </c>
      <c r="E72" s="113"/>
      <c r="F72" s="44"/>
    </row>
    <row r="73" spans="1:6" s="113" customFormat="1" ht="13.5" thickBot="1">
      <c r="A73" s="11" t="s">
        <v>67</v>
      </c>
      <c r="B73" s="12">
        <f>SUM(B65:B72)</f>
        <v>221401780359.67996</v>
      </c>
      <c r="C73" s="13">
        <f>SUM(C65:C72)</f>
        <v>0.8932109096085472</v>
      </c>
      <c r="F73" s="4"/>
    </row>
    <row r="74" spans="1:6" s="2" customFormat="1" ht="13.5" thickBot="1">
      <c r="A74" s="114" t="s">
        <v>114</v>
      </c>
      <c r="B74" s="25">
        <f>+B46</f>
        <v>26470002192.449997</v>
      </c>
      <c r="C74" s="10">
        <f>+B74/$B$75</f>
        <v>0.10678909039145304</v>
      </c>
      <c r="F74" s="4"/>
    </row>
    <row r="75" spans="1:6" ht="13.5" thickBot="1">
      <c r="A75" s="11" t="s">
        <v>41</v>
      </c>
      <c r="B75" s="12">
        <f>+B74+B73</f>
        <v>247871782552.12994</v>
      </c>
      <c r="C75" s="13">
        <f>+B75/$B$75</f>
        <v>1</v>
      </c>
      <c r="F75" s="4"/>
    </row>
    <row r="76" spans="2:6" ht="12.75">
      <c r="B76" s="4"/>
      <c r="F76" s="4"/>
    </row>
    <row r="77" spans="2:6" ht="12.75">
      <c r="B77" s="4"/>
      <c r="F77" s="4"/>
    </row>
    <row r="78" spans="2:6" ht="12.75">
      <c r="B78" s="4"/>
      <c r="F78" s="4"/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</sheetData>
  <sheetProtection/>
  <printOptions horizontalCentered="1"/>
  <pageMargins left="0.7874015748031497" right="0.7086614173228347" top="0.92" bottom="1.51" header="0.5118110236220472" footer="1.21"/>
  <pageSetup fitToHeight="1" fitToWidth="1" horizontalDpi="300" verticalDpi="300" orientation="portrait" scale="65" r:id="rId1"/>
  <headerFooter alignWithMargins="0">
    <oddFooter>&amp;CPreparado por FIDUCOLOMBIA S.A.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9"/>
  <sheetViews>
    <sheetView zoomScalePageLayoutView="0" workbookViewId="0" topLeftCell="A68">
      <selection activeCell="B75" sqref="B75"/>
    </sheetView>
  </sheetViews>
  <sheetFormatPr defaultColWidth="11.421875" defaultRowHeight="12.75"/>
  <cols>
    <col min="1" max="1" width="29.57421875" style="0" customWidth="1"/>
    <col min="2" max="2" width="27.57421875" style="0" customWidth="1"/>
    <col min="3" max="3" width="17.421875" style="0" customWidth="1"/>
    <col min="4" max="4" width="18.28125" style="0" customWidth="1"/>
    <col min="5" max="5" width="26.8515625" style="115" customWidth="1"/>
  </cols>
  <sheetData>
    <row r="2" spans="1:3" ht="18">
      <c r="A2" s="30" t="s">
        <v>68</v>
      </c>
      <c r="B2" s="5"/>
      <c r="C2" s="5"/>
    </row>
    <row r="3" spans="1:3" ht="15.75">
      <c r="A3" s="95" t="s">
        <v>117</v>
      </c>
      <c r="B3" s="5"/>
      <c r="C3" s="5"/>
    </row>
    <row r="4" spans="1:3" ht="12.75">
      <c r="A4" s="6" t="s">
        <v>69</v>
      </c>
      <c r="B4" s="5"/>
      <c r="C4" s="5"/>
    </row>
    <row r="5" spans="1:3" ht="12.75">
      <c r="A5" s="6" t="s">
        <v>70</v>
      </c>
      <c r="B5" s="6"/>
      <c r="C5" s="5"/>
    </row>
    <row r="6" spans="1:3" ht="13.5" thickBot="1">
      <c r="A6" s="5"/>
      <c r="B6" s="5"/>
      <c r="C6" s="5"/>
    </row>
    <row r="7" spans="1:3" ht="13.5" thickBot="1">
      <c r="A7" s="159" t="s">
        <v>3</v>
      </c>
      <c r="B7" s="207" t="s">
        <v>71</v>
      </c>
      <c r="C7" s="208" t="s">
        <v>5</v>
      </c>
    </row>
    <row r="8" ht="13.5" thickBot="1">
      <c r="B8" s="1"/>
    </row>
    <row r="9" spans="1:6" ht="12.75">
      <c r="A9" s="121" t="s">
        <v>154</v>
      </c>
      <c r="B9" s="122">
        <v>1544333993.39</v>
      </c>
      <c r="C9" s="123">
        <f aca="true" t="shared" si="0" ref="C9:C23">+B9/$B$46</f>
        <v>0.007057743372562577</v>
      </c>
      <c r="D9" s="124"/>
      <c r="F9" s="124"/>
    </row>
    <row r="10" spans="1:6" ht="12.75">
      <c r="A10" s="125" t="s">
        <v>76</v>
      </c>
      <c r="B10" s="126">
        <v>13603519191.64</v>
      </c>
      <c r="C10" s="127">
        <f t="shared" si="0"/>
        <v>0.06216928969333319</v>
      </c>
      <c r="D10" s="124"/>
      <c r="F10" s="124"/>
    </row>
    <row r="11" spans="1:3" ht="12.75">
      <c r="A11" s="125" t="s">
        <v>81</v>
      </c>
      <c r="B11" s="128">
        <v>5461564286.18</v>
      </c>
      <c r="C11" s="127">
        <f t="shared" si="0"/>
        <v>0.02495983337127581</v>
      </c>
    </row>
    <row r="12" spans="1:3" ht="12.75">
      <c r="A12" s="125" t="s">
        <v>72</v>
      </c>
      <c r="B12" s="128">
        <v>7086926591.46</v>
      </c>
      <c r="C12" s="127">
        <f t="shared" si="0"/>
        <v>0.03238788331850378</v>
      </c>
    </row>
    <row r="13" spans="1:5" ht="12.75">
      <c r="A13" s="125" t="s">
        <v>74</v>
      </c>
      <c r="B13" s="128">
        <v>25521762475.57</v>
      </c>
      <c r="C13" s="127">
        <f t="shared" si="0"/>
        <v>0.11663671896043157</v>
      </c>
      <c r="E13" s="209">
        <v>11780073493.93</v>
      </c>
    </row>
    <row r="14" spans="1:5" ht="12.75">
      <c r="A14" s="125" t="s">
        <v>75</v>
      </c>
      <c r="B14" s="128">
        <v>2563340444.55</v>
      </c>
      <c r="C14" s="127">
        <f t="shared" si="0"/>
        <v>0.0117146932668571</v>
      </c>
      <c r="E14" s="115">
        <f>-970553610.38-3662205592.65</f>
        <v>-4632759203.03</v>
      </c>
    </row>
    <row r="15" spans="1:5" ht="12.75">
      <c r="A15" s="125" t="s">
        <v>77</v>
      </c>
      <c r="B15" s="128">
        <v>5098653478.9</v>
      </c>
      <c r="C15" s="127">
        <f t="shared" si="0"/>
        <v>0.02330129878233671</v>
      </c>
      <c r="E15" s="115">
        <f>SUM(E13:E14)</f>
        <v>7147314290.900001</v>
      </c>
    </row>
    <row r="16" spans="1:3" ht="12.75" customHeight="1">
      <c r="A16" s="125" t="s">
        <v>78</v>
      </c>
      <c r="B16" s="128">
        <v>26277156712.98</v>
      </c>
      <c r="C16" s="127">
        <f t="shared" si="0"/>
        <v>0.12008893764859847</v>
      </c>
    </row>
    <row r="17" spans="1:3" ht="12.75">
      <c r="A17" s="125" t="s">
        <v>73</v>
      </c>
      <c r="B17" s="128">
        <v>16376349574.13</v>
      </c>
      <c r="C17" s="127">
        <f t="shared" si="0"/>
        <v>0.07484137056380642</v>
      </c>
    </row>
    <row r="18" spans="1:3" ht="12.75" hidden="1">
      <c r="A18" s="125" t="s">
        <v>155</v>
      </c>
      <c r="B18" s="128"/>
      <c r="C18" s="127">
        <f t="shared" si="0"/>
        <v>0</v>
      </c>
    </row>
    <row r="19" spans="1:3" ht="12.75">
      <c r="A19" s="125" t="s">
        <v>80</v>
      </c>
      <c r="B19" s="128">
        <v>7147314290.900001</v>
      </c>
      <c r="C19" s="127">
        <f t="shared" si="0"/>
        <v>0.03266386046291112</v>
      </c>
    </row>
    <row r="20" spans="1:3" ht="12.75">
      <c r="A20" s="125" t="s">
        <v>156</v>
      </c>
      <c r="B20" s="128">
        <v>1019559602.16</v>
      </c>
      <c r="C20" s="127">
        <f t="shared" si="0"/>
        <v>0.004659477843443468</v>
      </c>
    </row>
    <row r="21" spans="1:5" ht="12.75">
      <c r="A21" s="125" t="s">
        <v>79</v>
      </c>
      <c r="B21" s="128">
        <v>0</v>
      </c>
      <c r="C21" s="127">
        <f t="shared" si="0"/>
        <v>0</v>
      </c>
      <c r="E21" s="115">
        <v>1453075885.5</v>
      </c>
    </row>
    <row r="22" spans="1:3" ht="12.75" customHeight="1" hidden="1">
      <c r="A22" s="125" t="s">
        <v>157</v>
      </c>
      <c r="B22" s="128"/>
      <c r="C22" s="127">
        <f t="shared" si="0"/>
        <v>0</v>
      </c>
    </row>
    <row r="23" spans="1:5" ht="13.5" thickBot="1">
      <c r="A23" s="129" t="s">
        <v>82</v>
      </c>
      <c r="B23" s="130">
        <v>12283454979.13</v>
      </c>
      <c r="C23" s="131">
        <f t="shared" si="0"/>
        <v>0.05613647911798073</v>
      </c>
      <c r="E23" s="115">
        <v>7781109988.49</v>
      </c>
    </row>
    <row r="24" spans="1:5" s="2" customFormat="1" ht="13.5" thickBot="1">
      <c r="A24" s="132" t="s">
        <v>24</v>
      </c>
      <c r="B24" s="133">
        <f>SUM(B9:B23)</f>
        <v>123983935620.99</v>
      </c>
      <c r="C24" s="134">
        <f>SUM(C9:C23)</f>
        <v>0.5666175864020409</v>
      </c>
      <c r="E24" s="135">
        <f>SUM(E21:E23)</f>
        <v>9234185873.99</v>
      </c>
    </row>
    <row r="25" ht="13.5" thickBot="1"/>
    <row r="26" spans="1:3" ht="13.5" hidden="1" thickBot="1">
      <c r="A26" s="121" t="s">
        <v>83</v>
      </c>
      <c r="B26" s="122"/>
      <c r="C26" s="136">
        <f>+B26/$B$46</f>
        <v>0</v>
      </c>
    </row>
    <row r="27" spans="1:3" ht="13.5" hidden="1" thickBot="1">
      <c r="A27" s="121" t="s">
        <v>158</v>
      </c>
      <c r="B27" s="122"/>
      <c r="C27" s="123">
        <f>+B27/$B$46</f>
        <v>0</v>
      </c>
    </row>
    <row r="28" spans="1:3" ht="13.5" thickBot="1">
      <c r="A28" s="121" t="s">
        <v>159</v>
      </c>
      <c r="B28" s="122">
        <v>1005982544.15</v>
      </c>
      <c r="C28" s="137">
        <f>+B28/$B$46</f>
        <v>0.004597429483698028</v>
      </c>
    </row>
    <row r="29" spans="1:3" ht="13.5" hidden="1" thickBot="1">
      <c r="A29" s="138" t="s">
        <v>86</v>
      </c>
      <c r="B29" s="139"/>
      <c r="C29" s="137">
        <f>+B29/$B$46</f>
        <v>0</v>
      </c>
    </row>
    <row r="30" spans="1:3" ht="13.5" hidden="1" thickBot="1">
      <c r="A30" s="129" t="s">
        <v>85</v>
      </c>
      <c r="B30" s="140"/>
      <c r="C30" s="131">
        <f>+B30/$B$46</f>
        <v>0</v>
      </c>
    </row>
    <row r="31" spans="1:3" ht="13.5" thickBot="1">
      <c r="A31" s="141" t="s">
        <v>30</v>
      </c>
      <c r="B31" s="142">
        <f>SUM(B26:B30)</f>
        <v>1005982544.15</v>
      </c>
      <c r="C31" s="143">
        <f>SUM(C26:C30)</f>
        <v>0.004597429483698028</v>
      </c>
    </row>
    <row r="32" ht="13.5" thickBot="1"/>
    <row r="33" spans="1:3" ht="13.5" hidden="1" thickBot="1">
      <c r="A33" s="121" t="s">
        <v>160</v>
      </c>
      <c r="B33" s="144"/>
      <c r="C33" s="123">
        <f>+B33/$B$46</f>
        <v>0</v>
      </c>
    </row>
    <row r="34" spans="1:3" ht="12.75">
      <c r="A34" s="121" t="s">
        <v>89</v>
      </c>
      <c r="B34" s="144">
        <v>0</v>
      </c>
      <c r="C34" s="123">
        <f>+B34/$B$46</f>
        <v>0</v>
      </c>
    </row>
    <row r="35" spans="1:5" ht="12.75">
      <c r="A35" s="125" t="s">
        <v>88</v>
      </c>
      <c r="B35" s="145">
        <v>5103442129.67</v>
      </c>
      <c r="C35" s="127">
        <f>+B35/$B$46</f>
        <v>0.02332318334123404</v>
      </c>
      <c r="E35" s="115">
        <v>2443943928.5</v>
      </c>
    </row>
    <row r="36" spans="1:5" ht="13.5" thickBot="1">
      <c r="A36" s="125" t="s">
        <v>90</v>
      </c>
      <c r="B36" s="145">
        <v>18435462419.7</v>
      </c>
      <c r="C36" s="127">
        <f>+B36/$B$46</f>
        <v>0.08425169896516417</v>
      </c>
      <c r="E36" s="115">
        <v>3088348800</v>
      </c>
    </row>
    <row r="37" spans="1:3" ht="13.5" hidden="1" thickBot="1">
      <c r="A37" s="146"/>
      <c r="B37" s="140"/>
      <c r="C37" s="131">
        <f>+B37/$B$46</f>
        <v>0</v>
      </c>
    </row>
    <row r="38" spans="1:5" ht="12.75" customHeight="1" thickBot="1">
      <c r="A38" s="152" t="s">
        <v>92</v>
      </c>
      <c r="B38" s="142">
        <f>SUM(B33:B37)</f>
        <v>23538904549.370003</v>
      </c>
      <c r="C38" s="143">
        <f>SUM(C33:C37)</f>
        <v>0.10757488230639821</v>
      </c>
      <c r="E38" s="115">
        <f>SUM(E35:E37)</f>
        <v>5532292728.5</v>
      </c>
    </row>
    <row r="39" spans="1:3" ht="13.5" thickBot="1">
      <c r="A39" s="149"/>
      <c r="B39" s="150"/>
      <c r="C39" s="151"/>
    </row>
    <row r="40" spans="1:3" ht="13.5" thickBot="1">
      <c r="A40" s="152" t="s">
        <v>93</v>
      </c>
      <c r="B40" s="153">
        <v>0</v>
      </c>
      <c r="C40" s="154">
        <f>+B40/B46</f>
        <v>0</v>
      </c>
    </row>
    <row r="41" spans="1:3" ht="13.5" thickBot="1">
      <c r="A41" s="149"/>
      <c r="B41" s="150"/>
      <c r="C41" s="151"/>
    </row>
    <row r="42" spans="1:3" ht="13.5" thickBot="1">
      <c r="A42" s="152" t="s">
        <v>94</v>
      </c>
      <c r="B42" s="155">
        <v>70285309773.46</v>
      </c>
      <c r="C42" s="143">
        <f>+B42/B46</f>
        <v>0.3212101018078627</v>
      </c>
    </row>
    <row r="43" spans="1:3" ht="13.5" thickBot="1">
      <c r="A43" s="32"/>
      <c r="B43" s="31"/>
      <c r="C43" s="156"/>
    </row>
    <row r="44" spans="1:3" ht="13.5" thickBot="1">
      <c r="A44" s="138" t="s">
        <v>95</v>
      </c>
      <c r="B44" s="157">
        <v>0</v>
      </c>
      <c r="C44" s="158">
        <f>+B44/B46</f>
        <v>0</v>
      </c>
    </row>
    <row r="45" ht="13.5" thickBot="1"/>
    <row r="46" spans="1:4" ht="13.5" thickBot="1">
      <c r="A46" s="159" t="s">
        <v>41</v>
      </c>
      <c r="B46" s="160">
        <f>B44+B42+B40+B38+B31+B24</f>
        <v>218814132487.97003</v>
      </c>
      <c r="C46" s="161">
        <f>C44+C42+C40+C38+C31+C24</f>
        <v>0.9999999999999998</v>
      </c>
      <c r="D46" s="1"/>
    </row>
    <row r="48" ht="12.75">
      <c r="A48" s="116" t="s">
        <v>96</v>
      </c>
    </row>
    <row r="49" ht="13.5" thickBot="1">
      <c r="B49" s="1"/>
    </row>
    <row r="50" spans="1:3" ht="13.5" thickBot="1">
      <c r="A50" s="118" t="s">
        <v>43</v>
      </c>
      <c r="B50" s="118" t="s">
        <v>44</v>
      </c>
      <c r="C50" s="120" t="s">
        <v>45</v>
      </c>
    </row>
    <row r="51" ht="13.5" thickBot="1"/>
    <row r="52" spans="1:3" ht="12.75">
      <c r="A52" s="121" t="s">
        <v>18</v>
      </c>
      <c r="B52" s="122">
        <v>4632759203.03</v>
      </c>
      <c r="C52" s="123">
        <f>B52/$B$55</f>
        <v>0.9997235262662357</v>
      </c>
    </row>
    <row r="53" spans="1:3" ht="13.5" thickBot="1">
      <c r="A53" s="146" t="s">
        <v>97</v>
      </c>
      <c r="B53" s="130">
        <v>1281190.45</v>
      </c>
      <c r="C53" s="131">
        <f>B53/$B$55</f>
        <v>0.0002764737337642997</v>
      </c>
    </row>
    <row r="54" spans="2:3" ht="13.5" thickBot="1">
      <c r="B54" s="35"/>
      <c r="C54" s="162"/>
    </row>
    <row r="55" spans="1:5" ht="13.5" thickBot="1">
      <c r="A55" s="163" t="s">
        <v>41</v>
      </c>
      <c r="B55" s="157">
        <f>SUM(B52:B54)</f>
        <v>4634040393.48</v>
      </c>
      <c r="C55" s="158">
        <f>SUM(C52:C54)</f>
        <v>1</v>
      </c>
      <c r="D55" s="1"/>
      <c r="E55" s="115">
        <f>B46+B55</f>
        <v>223448172881.45004</v>
      </c>
    </row>
    <row r="56" spans="2:3" ht="12.75">
      <c r="B56" s="1"/>
      <c r="C56" s="1"/>
    </row>
    <row r="57" spans="2:5" ht="12.75">
      <c r="B57" s="117" t="s">
        <v>50</v>
      </c>
      <c r="E57" s="115">
        <f>B67-B46</f>
        <v>0</v>
      </c>
    </row>
    <row r="58" ht="13.5" thickBot="1">
      <c r="B58" s="164"/>
    </row>
    <row r="59" spans="1:5" ht="13.5" thickBot="1">
      <c r="A59" s="165" t="s">
        <v>51</v>
      </c>
      <c r="B59" s="166" t="s">
        <v>98</v>
      </c>
      <c r="C59" s="167" t="s">
        <v>5</v>
      </c>
      <c r="D59" t="s">
        <v>161</v>
      </c>
      <c r="E59" s="4"/>
    </row>
    <row r="60" spans="1:3" ht="12.75">
      <c r="A60" s="121" t="s">
        <v>99</v>
      </c>
      <c r="B60" s="122">
        <v>0</v>
      </c>
      <c r="C60" s="123">
        <f aca="true" t="shared" si="1" ref="C60:C66">B60/$B$67</f>
        <v>0</v>
      </c>
    </row>
    <row r="61" spans="1:5" ht="12.75">
      <c r="A61" s="125" t="s">
        <v>54</v>
      </c>
      <c r="B61" s="128">
        <v>5103442129.67</v>
      </c>
      <c r="C61" s="127">
        <f t="shared" si="1"/>
        <v>0.02332318334123404</v>
      </c>
      <c r="E61" s="135">
        <f>SUM(E59:E60)</f>
        <v>0</v>
      </c>
    </row>
    <row r="62" spans="1:3" ht="12.75">
      <c r="A62" s="125" t="s">
        <v>52</v>
      </c>
      <c r="B62" s="128">
        <v>132487911140.41</v>
      </c>
      <c r="C62" s="127">
        <f t="shared" si="1"/>
        <v>0.6054815090505816</v>
      </c>
    </row>
    <row r="63" spans="1:5" ht="12.75">
      <c r="A63" s="125" t="s">
        <v>101</v>
      </c>
      <c r="B63" s="128">
        <v>0</v>
      </c>
      <c r="C63" s="127">
        <f t="shared" si="1"/>
        <v>0</v>
      </c>
      <c r="D63" t="s">
        <v>102</v>
      </c>
      <c r="E63" s="115">
        <v>111048942984.67</v>
      </c>
    </row>
    <row r="64" spans="1:5" ht="12.75">
      <c r="A64" s="125" t="s">
        <v>55</v>
      </c>
      <c r="B64" s="128">
        <v>70285309773.46</v>
      </c>
      <c r="C64" s="127">
        <f t="shared" si="1"/>
        <v>0.3212101018078627</v>
      </c>
      <c r="D64" s="1"/>
      <c r="E64" s="115">
        <v>16376349574.13</v>
      </c>
    </row>
    <row r="65" spans="1:3" ht="12.75" hidden="1">
      <c r="A65" s="125" t="s">
        <v>56</v>
      </c>
      <c r="B65" s="128"/>
      <c r="C65" s="127">
        <f t="shared" si="1"/>
        <v>0</v>
      </c>
    </row>
    <row r="66" spans="1:5" ht="13.5" thickBot="1">
      <c r="A66" s="146" t="s">
        <v>56</v>
      </c>
      <c r="B66" s="130">
        <v>10937469444.43</v>
      </c>
      <c r="C66" s="131">
        <f t="shared" si="1"/>
        <v>0.049985205800321515</v>
      </c>
      <c r="E66" s="115">
        <v>5062618581.61</v>
      </c>
    </row>
    <row r="67" spans="1:5" ht="13.5" thickBot="1">
      <c r="A67" s="168" t="s">
        <v>49</v>
      </c>
      <c r="B67" s="169">
        <f>SUM(B60:B66)</f>
        <v>218814132487.97003</v>
      </c>
      <c r="C67" s="170">
        <f>SUM(C60:C66)</f>
        <v>0.9999999999999999</v>
      </c>
      <c r="D67" s="1"/>
      <c r="E67" s="135">
        <f>SUM(E63:E66)</f>
        <v>132487911140.41</v>
      </c>
    </row>
    <row r="68" spans="2:4" ht="12.75">
      <c r="B68" s="1"/>
      <c r="C68" s="171"/>
      <c r="D68" s="1"/>
    </row>
    <row r="69" spans="2:5" ht="12.75">
      <c r="B69" s="2" t="s">
        <v>57</v>
      </c>
      <c r="C69" s="172"/>
      <c r="D69" t="s">
        <v>100</v>
      </c>
      <c r="E69" s="115">
        <v>35450969059.06</v>
      </c>
    </row>
    <row r="70" spans="3:5" ht="13.5" thickBot="1">
      <c r="C70" s="172"/>
      <c r="E70" s="115">
        <v>2144805349.5</v>
      </c>
    </row>
    <row r="71" spans="1:5" ht="13.5" thickBot="1">
      <c r="A71" s="118" t="s">
        <v>103</v>
      </c>
      <c r="B71" s="119" t="s">
        <v>71</v>
      </c>
      <c r="C71" s="120" t="s">
        <v>5</v>
      </c>
      <c r="E71" s="115">
        <v>4419506322.26</v>
      </c>
    </row>
    <row r="72" spans="2:5" ht="13.5" thickBot="1">
      <c r="B72" s="75"/>
      <c r="C72" s="172"/>
      <c r="E72" s="115">
        <v>10398521767.16</v>
      </c>
    </row>
    <row r="73" spans="1:5" ht="12.75">
      <c r="A73" s="121" t="s">
        <v>104</v>
      </c>
      <c r="B73" s="128">
        <v>10937469444.43</v>
      </c>
      <c r="C73" s="123">
        <f>B73/B85</f>
        <v>0.04894857408493043</v>
      </c>
      <c r="E73" s="115">
        <v>3447051625.35</v>
      </c>
    </row>
    <row r="74" spans="1:5" ht="12.75">
      <c r="A74" s="125" t="s">
        <v>106</v>
      </c>
      <c r="B74" s="128">
        <v>99483635951.13</v>
      </c>
      <c r="C74" s="127">
        <f>B74/B85</f>
        <v>0.44522018089586635</v>
      </c>
      <c r="E74" s="135">
        <f>SUM(E69:E73)</f>
        <v>55860854123.329994</v>
      </c>
    </row>
    <row r="75" spans="1:5" ht="12.75">
      <c r="A75" s="125" t="s">
        <v>107</v>
      </c>
      <c r="B75" s="128">
        <v>16184225563.16</v>
      </c>
      <c r="C75" s="127">
        <f>B75/B85</f>
        <v>0.0724294379070466</v>
      </c>
      <c r="E75"/>
    </row>
    <row r="76" spans="1:5" ht="12.75">
      <c r="A76" s="173" t="s">
        <v>108</v>
      </c>
      <c r="B76" s="128">
        <v>62710364000.67</v>
      </c>
      <c r="C76" s="127">
        <f>B76/B85</f>
        <v>0.28064836329604204</v>
      </c>
      <c r="E76" s="1"/>
    </row>
    <row r="77" spans="1:3" ht="12.75">
      <c r="A77" s="174" t="s">
        <v>109</v>
      </c>
      <c r="B77" s="128">
        <v>19487074231.47</v>
      </c>
      <c r="C77" s="127">
        <f>B77/B85</f>
        <v>0.08721071190771754</v>
      </c>
    </row>
    <row r="78" spans="1:3" ht="12.75">
      <c r="A78" s="174" t="s">
        <v>110</v>
      </c>
      <c r="B78" s="210">
        <v>10011363297.11</v>
      </c>
      <c r="C78" s="127">
        <f>B78/B85</f>
        <v>0.044803961330314876</v>
      </c>
    </row>
    <row r="79" spans="1:5" ht="12.75">
      <c r="A79" s="174" t="s">
        <v>111</v>
      </c>
      <c r="B79" s="128">
        <v>0</v>
      </c>
      <c r="C79" s="127">
        <f>B79/B85</f>
        <v>0</v>
      </c>
      <c r="E79"/>
    </row>
    <row r="80" spans="1:4" ht="13.5" thickBot="1">
      <c r="A80" s="146" t="s">
        <v>112</v>
      </c>
      <c r="B80" s="130">
        <v>0</v>
      </c>
      <c r="C80" s="131">
        <f>B80/B85</f>
        <v>0</v>
      </c>
      <c r="D80" s="175"/>
    </row>
    <row r="81" spans="1:4" ht="13.5" thickBot="1">
      <c r="A81" s="147" t="s">
        <v>113</v>
      </c>
      <c r="B81" s="133">
        <f>SUM(B73:B80)</f>
        <v>218814132487.97003</v>
      </c>
      <c r="C81" s="134">
        <f>SUM(C73:C80)</f>
        <v>0.9792612294219178</v>
      </c>
      <c r="D81" s="1"/>
    </row>
    <row r="82" spans="1:5" ht="13.5" thickBot="1">
      <c r="A82" s="176"/>
      <c r="B82" s="177"/>
      <c r="C82" s="178"/>
      <c r="E82" s="115">
        <f>B81-B67</f>
        <v>0</v>
      </c>
    </row>
    <row r="83" spans="1:3" ht="13.5" thickBot="1">
      <c r="A83" s="179" t="s">
        <v>114</v>
      </c>
      <c r="B83" s="180">
        <f>B55</f>
        <v>4634040393.48</v>
      </c>
      <c r="C83" s="158">
        <f>+B83/B85</f>
        <v>0.020738770578082013</v>
      </c>
    </row>
    <row r="84" spans="1:3" ht="13.5" thickBot="1">
      <c r="A84" s="176"/>
      <c r="B84" s="177"/>
      <c r="C84" s="178"/>
    </row>
    <row r="85" spans="1:3" ht="13.5" thickBot="1">
      <c r="A85" s="163" t="s">
        <v>49</v>
      </c>
      <c r="B85" s="180">
        <f>+B83+B81</f>
        <v>223448172881.45004</v>
      </c>
      <c r="C85" s="158">
        <f>+C83+C81</f>
        <v>0.9999999999999999</v>
      </c>
    </row>
    <row r="87" ht="12.75">
      <c r="B87" s="1"/>
    </row>
    <row r="88" ht="12.75">
      <c r="B88" s="1"/>
    </row>
    <row r="89" ht="12.75">
      <c r="B89" s="4"/>
    </row>
  </sheetData>
  <sheetProtection/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120" verticalDpi="12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8"/>
  <sheetViews>
    <sheetView zoomScale="110" zoomScaleNormal="110" zoomScalePageLayoutView="0" workbookViewId="0" topLeftCell="A62">
      <selection activeCell="B79" sqref="B79"/>
    </sheetView>
  </sheetViews>
  <sheetFormatPr defaultColWidth="11.421875" defaultRowHeight="12.75"/>
  <cols>
    <col min="1" max="1" width="30.7109375" style="0" customWidth="1"/>
    <col min="2" max="2" width="28.7109375" style="0" customWidth="1"/>
    <col min="3" max="3" width="18.7109375" style="0" customWidth="1"/>
    <col min="4" max="4" width="11.421875" style="0" customWidth="1"/>
    <col min="5" max="5" width="18.8515625" style="0" customWidth="1"/>
  </cols>
  <sheetData>
    <row r="2" spans="1:3" ht="18">
      <c r="A2" s="30" t="s">
        <v>68</v>
      </c>
      <c r="B2" s="5"/>
      <c r="C2" s="5"/>
    </row>
    <row r="3" spans="1:3" ht="15.75">
      <c r="A3" s="95" t="s">
        <v>162</v>
      </c>
      <c r="B3" s="5"/>
      <c r="C3" s="5"/>
    </row>
    <row r="4" spans="1:3" ht="12.75">
      <c r="A4" s="6" t="s">
        <v>69</v>
      </c>
      <c r="B4" s="5"/>
      <c r="C4" s="5"/>
    </row>
    <row r="5" spans="1:3" ht="12.75">
      <c r="A5" s="6" t="s">
        <v>70</v>
      </c>
      <c r="B5" s="6"/>
      <c r="C5" s="5"/>
    </row>
    <row r="6" spans="1:3" ht="13.5" thickBot="1">
      <c r="A6" s="5"/>
      <c r="B6" s="5"/>
      <c r="C6" s="5"/>
    </row>
    <row r="7" spans="1:3" ht="13.5" thickBot="1">
      <c r="A7" s="159" t="s">
        <v>3</v>
      </c>
      <c r="B7" s="207" t="s">
        <v>71</v>
      </c>
      <c r="C7" s="208" t="s">
        <v>5</v>
      </c>
    </row>
    <row r="8" spans="2:5" ht="13.5" thickBot="1">
      <c r="B8" s="1"/>
      <c r="E8" s="35">
        <v>4628127470.51</v>
      </c>
    </row>
    <row r="9" spans="1:5" ht="12.75">
      <c r="A9" s="121" t="s">
        <v>163</v>
      </c>
      <c r="B9" s="144">
        <v>2562443744.04</v>
      </c>
      <c r="C9" s="123">
        <f aca="true" t="shared" si="0" ref="C9:C21">+B9/$B$41</f>
        <v>0.023283111263864467</v>
      </c>
      <c r="E9" s="187">
        <v>527631259</v>
      </c>
    </row>
    <row r="10" spans="1:5" ht="12.75">
      <c r="A10" s="125" t="s">
        <v>81</v>
      </c>
      <c r="B10" s="145">
        <v>14358273631.32</v>
      </c>
      <c r="C10" s="127">
        <f t="shared" si="0"/>
        <v>0.13046346219018354</v>
      </c>
      <c r="E10" s="35">
        <f>E8-E9</f>
        <v>4100496211.51</v>
      </c>
    </row>
    <row r="11" spans="1:5" ht="12.75" hidden="1">
      <c r="A11" s="125" t="s">
        <v>155</v>
      </c>
      <c r="B11" s="145"/>
      <c r="C11" s="127">
        <f t="shared" si="0"/>
        <v>0</v>
      </c>
      <c r="E11" s="35"/>
    </row>
    <row r="12" spans="1:5" ht="12.75" customHeight="1">
      <c r="A12" s="125" t="s">
        <v>154</v>
      </c>
      <c r="B12" s="145">
        <v>2043286738.26</v>
      </c>
      <c r="C12" s="127">
        <f t="shared" si="0"/>
        <v>0.018565899283267802</v>
      </c>
      <c r="E12" s="35"/>
    </row>
    <row r="13" spans="1:5" ht="12.75">
      <c r="A13" s="125" t="s">
        <v>164</v>
      </c>
      <c r="B13" s="145">
        <v>8394213204.22</v>
      </c>
      <c r="C13" s="127">
        <f t="shared" si="0"/>
        <v>0.07627226957120026</v>
      </c>
      <c r="E13" s="35"/>
    </row>
    <row r="14" spans="1:5" ht="12.75">
      <c r="A14" s="125" t="s">
        <v>77</v>
      </c>
      <c r="B14" s="145">
        <v>9041204146.94</v>
      </c>
      <c r="C14" s="127">
        <f t="shared" si="0"/>
        <v>0.08215101798903368</v>
      </c>
      <c r="E14" s="35"/>
    </row>
    <row r="15" spans="1:5" ht="12.75">
      <c r="A15" s="125" t="s">
        <v>78</v>
      </c>
      <c r="B15" s="145">
        <v>6300362477.74</v>
      </c>
      <c r="C15" s="127">
        <f t="shared" si="0"/>
        <v>0.05724693114262077</v>
      </c>
      <c r="E15" s="35"/>
    </row>
    <row r="16" spans="1:5" ht="12.75">
      <c r="A16" s="125" t="s">
        <v>80</v>
      </c>
      <c r="B16" s="145">
        <v>4100496211.51</v>
      </c>
      <c r="C16" s="127">
        <f t="shared" si="0"/>
        <v>0.037258304597594216</v>
      </c>
      <c r="E16" s="35"/>
    </row>
    <row r="17" spans="1:5" ht="12.75">
      <c r="A17" s="125" t="s">
        <v>79</v>
      </c>
      <c r="B17" s="145">
        <v>0</v>
      </c>
      <c r="C17" s="127">
        <f t="shared" si="0"/>
        <v>0</v>
      </c>
      <c r="E17" s="35"/>
    </row>
    <row r="18" spans="1:5" ht="12.75">
      <c r="A18" s="125" t="s">
        <v>73</v>
      </c>
      <c r="B18" s="145">
        <v>6108096539.58</v>
      </c>
      <c r="C18" s="127">
        <f t="shared" si="0"/>
        <v>0.055499946748976</v>
      </c>
      <c r="E18" s="35"/>
    </row>
    <row r="19" spans="1:5" ht="12.75">
      <c r="A19" s="125" t="s">
        <v>82</v>
      </c>
      <c r="B19" s="145">
        <v>12361564257.79</v>
      </c>
      <c r="C19" s="127">
        <f t="shared" si="0"/>
        <v>0.1123207784283915</v>
      </c>
      <c r="E19" s="35"/>
    </row>
    <row r="20" spans="1:5" ht="12.75">
      <c r="A20" s="125" t="s">
        <v>165</v>
      </c>
      <c r="B20" s="145">
        <v>3026344798.28</v>
      </c>
      <c r="C20" s="127">
        <f t="shared" si="0"/>
        <v>0.027498251551886864</v>
      </c>
      <c r="E20" s="35"/>
    </row>
    <row r="21" spans="1:5" ht="13.5" thickBot="1">
      <c r="A21" s="125" t="s">
        <v>76</v>
      </c>
      <c r="B21" s="145">
        <v>5540756300.37</v>
      </c>
      <c r="C21" s="127">
        <f t="shared" si="0"/>
        <v>0.05034492785550065</v>
      </c>
      <c r="E21" s="35"/>
    </row>
    <row r="22" spans="1:5" s="2" customFormat="1" ht="13.5" thickBot="1">
      <c r="A22" s="141" t="s">
        <v>24</v>
      </c>
      <c r="B22" s="142">
        <f>SUM(B9:B21)</f>
        <v>73837042050.05</v>
      </c>
      <c r="C22" s="181">
        <f>SUM(C9:C21)</f>
        <v>0.6709049006225197</v>
      </c>
      <c r="E22" s="182"/>
    </row>
    <row r="23" ht="13.5" thickBot="1">
      <c r="E23" s="35"/>
    </row>
    <row r="24" spans="1:5" ht="13.5" hidden="1" thickBot="1">
      <c r="A24" s="121" t="s">
        <v>84</v>
      </c>
      <c r="B24" s="144"/>
      <c r="C24" s="123">
        <f>+B24/B41</f>
        <v>0</v>
      </c>
      <c r="E24" s="35"/>
    </row>
    <row r="25" spans="1:5" ht="13.5" thickBot="1">
      <c r="A25" s="138" t="s">
        <v>86</v>
      </c>
      <c r="B25" s="199">
        <v>3398666983.14</v>
      </c>
      <c r="C25" s="137">
        <f>+B25/B41</f>
        <v>0.03088127952128652</v>
      </c>
      <c r="E25" s="35"/>
    </row>
    <row r="26" spans="1:5" ht="13.5" hidden="1" thickBot="1">
      <c r="A26" s="129" t="s">
        <v>87</v>
      </c>
      <c r="B26" s="140"/>
      <c r="C26" s="131">
        <f>+B26/B41</f>
        <v>0</v>
      </c>
      <c r="E26" s="35"/>
    </row>
    <row r="27" spans="1:5" ht="13.5" thickBot="1">
      <c r="A27" s="132" t="s">
        <v>30</v>
      </c>
      <c r="B27" s="133">
        <f>SUM(B24:B26)</f>
        <v>3398666983.14</v>
      </c>
      <c r="C27" s="148">
        <f>SUM(C24:C26)</f>
        <v>0.03088127952128652</v>
      </c>
      <c r="E27" s="35"/>
    </row>
    <row r="28" ht="13.5" thickBot="1">
      <c r="E28" s="35"/>
    </row>
    <row r="29" spans="1:5" ht="13.5" hidden="1" thickBot="1">
      <c r="A29" s="121" t="s">
        <v>88</v>
      </c>
      <c r="B29" s="144"/>
      <c r="C29" s="123">
        <f>+B29/B41</f>
        <v>0</v>
      </c>
      <c r="E29" s="35"/>
    </row>
    <row r="30" spans="1:5" ht="12.75">
      <c r="A30" s="121" t="s">
        <v>89</v>
      </c>
      <c r="B30" s="144">
        <v>7579237116.34</v>
      </c>
      <c r="C30" s="123">
        <f>+B30/B41</f>
        <v>0.06886715912706524</v>
      </c>
      <c r="E30" s="35"/>
    </row>
    <row r="31" spans="1:5" ht="13.5" thickBot="1">
      <c r="A31" s="146" t="s">
        <v>90</v>
      </c>
      <c r="B31" s="140">
        <v>1732387214.73</v>
      </c>
      <c r="C31" s="131">
        <f>+B31/B41</f>
        <v>0.015740975530280837</v>
      </c>
      <c r="E31" s="35"/>
    </row>
    <row r="32" spans="1:5" ht="13.5" hidden="1" thickBot="1">
      <c r="A32" s="125" t="s">
        <v>91</v>
      </c>
      <c r="B32" s="145"/>
      <c r="C32" s="127">
        <f>+B32/B41</f>
        <v>0</v>
      </c>
      <c r="E32" s="35"/>
    </row>
    <row r="33" spans="1:5" ht="13.5" thickBot="1">
      <c r="A33" s="152" t="s">
        <v>92</v>
      </c>
      <c r="B33" s="153">
        <f>SUM(B29:B32)</f>
        <v>9311624331.07</v>
      </c>
      <c r="C33" s="143">
        <f>SUM(C29:C32)</f>
        <v>0.08460813465734608</v>
      </c>
      <c r="E33" s="35"/>
    </row>
    <row r="34" spans="1:5" ht="12.75" hidden="1">
      <c r="A34" s="149"/>
      <c r="B34" s="150"/>
      <c r="C34" s="151"/>
      <c r="E34" s="35"/>
    </row>
    <row r="35" spans="1:5" ht="13.5" hidden="1" thickBot="1">
      <c r="A35" s="138" t="s">
        <v>93</v>
      </c>
      <c r="B35" s="200"/>
      <c r="C35" s="158">
        <f>+B35/B41</f>
        <v>0</v>
      </c>
      <c r="E35" s="35"/>
    </row>
    <row r="36" spans="1:5" ht="13.5" thickBot="1">
      <c r="A36" s="32"/>
      <c r="B36" s="201"/>
      <c r="C36" s="156"/>
      <c r="E36" s="35"/>
    </row>
    <row r="37" spans="1:5" ht="13.5" thickBot="1">
      <c r="A37" s="23" t="s">
        <v>94</v>
      </c>
      <c r="B37" s="33">
        <v>23508565737.89</v>
      </c>
      <c r="C37" s="202">
        <f>+B37/B41</f>
        <v>0.21360568519884773</v>
      </c>
      <c r="E37" s="35"/>
    </row>
    <row r="38" spans="1:5" ht="13.5" thickBot="1">
      <c r="A38" s="32"/>
      <c r="B38" s="31"/>
      <c r="C38" s="156"/>
      <c r="E38" s="35"/>
    </row>
    <row r="39" spans="1:5" ht="13.5" thickBot="1">
      <c r="A39" s="138" t="s">
        <v>95</v>
      </c>
      <c r="B39" s="157"/>
      <c r="C39" s="158">
        <f>+B39/B41</f>
        <v>0</v>
      </c>
      <c r="E39" s="35"/>
    </row>
    <row r="40" ht="13.5" thickBot="1">
      <c r="E40" s="35"/>
    </row>
    <row r="41" spans="1:5" ht="13.5" thickBot="1">
      <c r="A41" s="159" t="s">
        <v>41</v>
      </c>
      <c r="B41" s="160">
        <f>+B39+B37+B33+B27+B22+B35</f>
        <v>110055899102.15</v>
      </c>
      <c r="C41" s="161">
        <f>+C39+C37+C33+C27+C22+C35</f>
        <v>1</v>
      </c>
      <c r="E41" s="35"/>
    </row>
    <row r="42" spans="2:5" ht="12.75">
      <c r="B42" s="164"/>
      <c r="E42" s="35"/>
    </row>
    <row r="43" spans="1:5" ht="12.75">
      <c r="A43" s="116" t="s">
        <v>96</v>
      </c>
      <c r="E43" s="35"/>
    </row>
    <row r="44" spans="2:5" ht="13.5" thickBot="1">
      <c r="B44" s="1"/>
      <c r="E44" s="35"/>
    </row>
    <row r="45" spans="1:5" ht="13.5" thickBot="1">
      <c r="A45" s="118" t="s">
        <v>43</v>
      </c>
      <c r="B45" s="118" t="s">
        <v>44</v>
      </c>
      <c r="C45" s="120" t="s">
        <v>45</v>
      </c>
      <c r="E45" s="35"/>
    </row>
    <row r="46" ht="13.5" thickBot="1">
      <c r="E46" s="35"/>
    </row>
    <row r="47" spans="1:5" ht="12.75">
      <c r="A47" s="121" t="s">
        <v>18</v>
      </c>
      <c r="B47" s="203">
        <v>527631259</v>
      </c>
      <c r="C47" s="123">
        <f>B47/B50</f>
        <v>0.9972855769097749</v>
      </c>
      <c r="E47" s="35"/>
    </row>
    <row r="48" spans="1:5" ht="13.5" thickBot="1">
      <c r="A48" s="146" t="s">
        <v>97</v>
      </c>
      <c r="B48" s="204">
        <v>1436112.69</v>
      </c>
      <c r="C48" s="131">
        <f>B48/B50</f>
        <v>0.0027144230902250216</v>
      </c>
      <c r="E48" s="35"/>
    </row>
    <row r="49" spans="2:5" ht="13.5" thickBot="1">
      <c r="B49" s="35"/>
      <c r="C49" s="162"/>
      <c r="E49" s="35"/>
    </row>
    <row r="50" spans="1:5" ht="13.5" thickBot="1">
      <c r="A50" s="163" t="s">
        <v>41</v>
      </c>
      <c r="B50" s="157">
        <f>B47+B48</f>
        <v>529067371.69</v>
      </c>
      <c r="C50" s="158">
        <f>SUM(C47:C49)</f>
        <v>1</v>
      </c>
      <c r="E50" s="35">
        <f>B50+B41</f>
        <v>110584966473.84</v>
      </c>
    </row>
    <row r="51" spans="2:5" ht="12.75">
      <c r="B51" s="1"/>
      <c r="C51" s="164"/>
      <c r="E51" s="35"/>
    </row>
    <row r="52" spans="2:5" ht="12.75">
      <c r="B52" s="117" t="s">
        <v>50</v>
      </c>
      <c r="E52" s="35"/>
    </row>
    <row r="53" ht="13.5" thickBot="1">
      <c r="E53" s="35"/>
    </row>
    <row r="54" spans="1:5" ht="13.5" thickBot="1">
      <c r="A54" s="165" t="s">
        <v>51</v>
      </c>
      <c r="B54" s="166" t="s">
        <v>98</v>
      </c>
      <c r="C54" s="167" t="s">
        <v>5</v>
      </c>
      <c r="E54" s="35">
        <v>69461332725.2</v>
      </c>
    </row>
    <row r="55" spans="1:5" ht="12.75">
      <c r="A55" s="121" t="s">
        <v>99</v>
      </c>
      <c r="B55" s="203"/>
      <c r="C55" s="123">
        <f>B55/B60</f>
        <v>0</v>
      </c>
      <c r="E55" s="35">
        <v>13687333655.92</v>
      </c>
    </row>
    <row r="56" spans="1:5" ht="12.75">
      <c r="A56" s="125" t="s">
        <v>54</v>
      </c>
      <c r="B56" s="126">
        <v>0</v>
      </c>
      <c r="C56" s="127">
        <f>B56/B60</f>
        <v>0</v>
      </c>
      <c r="E56" s="35">
        <v>3398666983.14</v>
      </c>
    </row>
    <row r="57" spans="1:5" ht="12.75">
      <c r="A57" s="125" t="s">
        <v>52</v>
      </c>
      <c r="B57" s="126">
        <v>86547333364.26</v>
      </c>
      <c r="C57" s="127">
        <f>B57/B60</f>
        <v>0.7863943148011523</v>
      </c>
      <c r="D57" t="s">
        <v>102</v>
      </c>
      <c r="E57" s="182">
        <f>SUM(E54:E56)</f>
        <v>86547333364.26</v>
      </c>
    </row>
    <row r="58" spans="1:5" ht="12.75">
      <c r="A58" s="125" t="s">
        <v>55</v>
      </c>
      <c r="B58" s="126">
        <v>23508565737.89</v>
      </c>
      <c r="C58" s="127">
        <f>B58/B60</f>
        <v>0.21360568519884773</v>
      </c>
      <c r="E58" s="35"/>
    </row>
    <row r="59" spans="1:5" ht="13.5" thickBot="1">
      <c r="A59" s="146" t="s">
        <v>101</v>
      </c>
      <c r="B59" s="35">
        <v>0</v>
      </c>
      <c r="C59" s="131">
        <f>B59/B60</f>
        <v>0</v>
      </c>
      <c r="E59" s="35">
        <v>11653432735.69</v>
      </c>
    </row>
    <row r="60" spans="1:5" ht="13.5" thickBot="1">
      <c r="A60" s="118" t="s">
        <v>49</v>
      </c>
      <c r="B60" s="211">
        <f>SUM(B55:B59)</f>
        <v>110055899102.15</v>
      </c>
      <c r="C60" s="212">
        <f>C55+C57+C58+C59+C56</f>
        <v>1</v>
      </c>
      <c r="E60" s="35">
        <v>1072402674.75</v>
      </c>
    </row>
    <row r="61" spans="2:5" ht="12.75">
      <c r="B61" s="1"/>
      <c r="C61" s="172"/>
      <c r="E61" s="35">
        <v>2209753161.13</v>
      </c>
    </row>
    <row r="62" spans="2:5" ht="12.75">
      <c r="B62" s="2" t="s">
        <v>57</v>
      </c>
      <c r="C62" s="172"/>
      <c r="E62" s="35">
        <v>6274942749.42</v>
      </c>
    </row>
    <row r="63" spans="3:5" ht="13.5" thickBot="1">
      <c r="C63" s="172"/>
      <c r="E63" s="35">
        <v>2298034416.9</v>
      </c>
    </row>
    <row r="64" spans="1:5" ht="13.5" thickBot="1">
      <c r="A64" s="118" t="s">
        <v>103</v>
      </c>
      <c r="B64" s="119" t="s">
        <v>71</v>
      </c>
      <c r="C64" s="120" t="s">
        <v>5</v>
      </c>
      <c r="D64" t="s">
        <v>100</v>
      </c>
      <c r="E64" s="182">
        <f>SUM(E59:E63)</f>
        <v>23508565737.89</v>
      </c>
    </row>
    <row r="65" spans="3:5" ht="13.5" thickBot="1">
      <c r="C65" s="172"/>
      <c r="E65" s="35"/>
    </row>
    <row r="66" spans="1:5" ht="12.75">
      <c r="A66" s="121" t="s">
        <v>104</v>
      </c>
      <c r="B66" s="205">
        <v>0</v>
      </c>
      <c r="C66" s="123">
        <f>+B66/B79</f>
        <v>0</v>
      </c>
      <c r="E66" s="35">
        <f>B60-B41</f>
        <v>0</v>
      </c>
    </row>
    <row r="67" spans="1:5" ht="12.75">
      <c r="A67" s="125" t="s">
        <v>105</v>
      </c>
      <c r="B67" s="206">
        <v>0</v>
      </c>
      <c r="C67" s="127">
        <f>+B67/B79</f>
        <v>0</v>
      </c>
      <c r="E67" s="35"/>
    </row>
    <row r="68" spans="1:5" ht="12.75">
      <c r="A68" s="125" t="s">
        <v>106</v>
      </c>
      <c r="B68" s="126">
        <v>55710080960.59</v>
      </c>
      <c r="C68" s="127">
        <f>+B68/B79</f>
        <v>0.5037762612494782</v>
      </c>
      <c r="E68" s="35"/>
    </row>
    <row r="69" spans="1:5" ht="12.75">
      <c r="A69" s="125" t="s">
        <v>107</v>
      </c>
      <c r="B69" s="126">
        <v>10033339745.87</v>
      </c>
      <c r="C69" s="127">
        <f>+B69/B79</f>
        <v>0.09072969017215816</v>
      </c>
      <c r="E69" s="35"/>
    </row>
    <row r="70" spans="1:5" ht="12.75">
      <c r="A70" s="173" t="s">
        <v>108</v>
      </c>
      <c r="B70" s="126">
        <v>32227475935.05</v>
      </c>
      <c r="C70" s="127">
        <f>+B70/B79</f>
        <v>0.2914272795179057</v>
      </c>
      <c r="E70" s="35"/>
    </row>
    <row r="71" spans="1:5" ht="12.75">
      <c r="A71" s="174" t="s">
        <v>109</v>
      </c>
      <c r="B71" s="126">
        <v>6504812208.04</v>
      </c>
      <c r="C71" s="127">
        <f>+B71/B79</f>
        <v>0.05882184907637314</v>
      </c>
      <c r="E71" s="35"/>
    </row>
    <row r="72" spans="1:5" ht="12.75">
      <c r="A72" s="174" t="s">
        <v>110</v>
      </c>
      <c r="B72" s="126">
        <v>5580190252.6</v>
      </c>
      <c r="C72" s="127">
        <f>+B72/B79</f>
        <v>0.05046065871819974</v>
      </c>
      <c r="E72" s="35"/>
    </row>
    <row r="73" spans="1:5" ht="12.75" hidden="1">
      <c r="A73" s="174" t="s">
        <v>111</v>
      </c>
      <c r="B73" s="126"/>
      <c r="C73" s="127">
        <f>+B73/B79</f>
        <v>0</v>
      </c>
      <c r="E73" s="35"/>
    </row>
    <row r="74" spans="1:5" ht="13.5" thickBot="1">
      <c r="A74" s="146" t="s">
        <v>112</v>
      </c>
      <c r="B74" s="204">
        <v>0</v>
      </c>
      <c r="C74" s="131">
        <f>+B74/B79</f>
        <v>0</v>
      </c>
      <c r="E74" s="35"/>
    </row>
    <row r="75" spans="1:5" ht="13.5" thickBot="1">
      <c r="A75" s="213" t="s">
        <v>113</v>
      </c>
      <c r="B75" s="214">
        <f>SUM(B66:B74)</f>
        <v>110055899102.15</v>
      </c>
      <c r="C75" s="215">
        <f>SUM(C66:C74)</f>
        <v>0.9952157387341148</v>
      </c>
      <c r="E75" s="35"/>
    </row>
    <row r="76" spans="1:5" ht="13.5" thickBot="1">
      <c r="A76" s="176"/>
      <c r="B76" s="177"/>
      <c r="C76" s="178"/>
      <c r="E76" s="35"/>
    </row>
    <row r="77" spans="1:5" ht="13.5" thickBot="1">
      <c r="A77" s="179" t="s">
        <v>114</v>
      </c>
      <c r="B77" s="180">
        <f>B50</f>
        <v>529067371.69</v>
      </c>
      <c r="C77" s="158">
        <f>+B77/B79</f>
        <v>0.004784261265885144</v>
      </c>
      <c r="E77" s="35"/>
    </row>
    <row r="78" spans="1:5" ht="13.5" thickBot="1">
      <c r="A78" s="176"/>
      <c r="B78" s="177"/>
      <c r="C78" s="178"/>
      <c r="E78" s="35"/>
    </row>
    <row r="79" spans="1:5" ht="13.5" thickBot="1">
      <c r="A79" s="163" t="s">
        <v>49</v>
      </c>
      <c r="B79" s="180">
        <f>+B77+B75</f>
        <v>110584966473.84</v>
      </c>
      <c r="C79" s="158">
        <f>+C77+C75</f>
        <v>1</v>
      </c>
      <c r="E79" s="35"/>
    </row>
    <row r="80" spans="2:5" ht="12.75">
      <c r="B80" s="1"/>
      <c r="E80" s="35"/>
    </row>
    <row r="81" spans="2:5" ht="12.75">
      <c r="B81" s="35"/>
      <c r="E81" s="35"/>
    </row>
    <row r="82" ht="12.75">
      <c r="E82" s="35"/>
    </row>
    <row r="83" spans="2:5" ht="12.75">
      <c r="B83" s="1"/>
      <c r="E83" s="35"/>
    </row>
    <row r="84" ht="12.75">
      <c r="E84" s="35"/>
    </row>
    <row r="85" ht="12.75">
      <c r="E85" s="35"/>
    </row>
    <row r="86" ht="12.75">
      <c r="E86" s="35"/>
    </row>
    <row r="87" ht="12.75">
      <c r="E87" s="35"/>
    </row>
    <row r="88" ht="12.75">
      <c r="E88" s="35"/>
    </row>
    <row r="89" ht="12.75">
      <c r="E89" s="35"/>
    </row>
    <row r="90" ht="12.75">
      <c r="E90" s="35"/>
    </row>
    <row r="91" ht="12.75">
      <c r="E91" s="35"/>
    </row>
    <row r="92" ht="12.75">
      <c r="E92" s="35"/>
    </row>
    <row r="93" ht="12.75">
      <c r="E93" s="35"/>
    </row>
    <row r="94" ht="12.75">
      <c r="E94" s="35"/>
    </row>
    <row r="95" ht="12.75">
      <c r="E95" s="35"/>
    </row>
    <row r="96" ht="12.75">
      <c r="E96" s="35"/>
    </row>
    <row r="97" ht="12.75">
      <c r="E97" s="35"/>
    </row>
    <row r="98" ht="12.75">
      <c r="E98" s="35"/>
    </row>
    <row r="99" ht="12.75">
      <c r="E99" s="35"/>
    </row>
    <row r="100" ht="12.75">
      <c r="E100" s="35"/>
    </row>
    <row r="101" ht="12.75">
      <c r="E101" s="35"/>
    </row>
    <row r="102" ht="12.75">
      <c r="E102" s="35"/>
    </row>
    <row r="103" ht="12.75">
      <c r="E103" s="35"/>
    </row>
    <row r="104" ht="12.75">
      <c r="E104" s="35"/>
    </row>
    <row r="105" ht="12.75">
      <c r="E105" s="35"/>
    </row>
    <row r="106" ht="12.75">
      <c r="E106" s="35"/>
    </row>
    <row r="107" ht="12.75">
      <c r="E107" s="35"/>
    </row>
    <row r="108" ht="12.75">
      <c r="E108" s="35"/>
    </row>
    <row r="109" ht="12.75">
      <c r="E109" s="35"/>
    </row>
    <row r="110" ht="12.75">
      <c r="E110" s="35"/>
    </row>
    <row r="111" ht="12.75">
      <c r="E111" s="35"/>
    </row>
    <row r="112" ht="12.75">
      <c r="E112" s="35"/>
    </row>
    <row r="113" ht="12.75">
      <c r="E113" s="35"/>
    </row>
    <row r="114" ht="12.75">
      <c r="E114" s="35"/>
    </row>
    <row r="115" ht="12.75">
      <c r="E115" s="35"/>
    </row>
    <row r="116" ht="12.75">
      <c r="E116" s="35"/>
    </row>
    <row r="117" ht="12.75">
      <c r="E117" s="35"/>
    </row>
    <row r="118" ht="12.75">
      <c r="E118" s="35"/>
    </row>
    <row r="119" ht="12.75">
      <c r="E119" s="35"/>
    </row>
    <row r="120" ht="12.75">
      <c r="E120" s="35"/>
    </row>
    <row r="121" ht="12.75">
      <c r="E121" s="35"/>
    </row>
    <row r="122" ht="12.75">
      <c r="E122" s="35"/>
    </row>
    <row r="123" ht="12.75">
      <c r="E123" s="35"/>
    </row>
    <row r="124" ht="12.75">
      <c r="E124" s="35"/>
    </row>
    <row r="125" ht="12.75">
      <c r="E125" s="35"/>
    </row>
    <row r="126" ht="12.75">
      <c r="E126" s="35"/>
    </row>
    <row r="127" ht="12.75">
      <c r="E127" s="35"/>
    </row>
    <row r="128" ht="12.75">
      <c r="E128" s="35"/>
    </row>
    <row r="129" ht="12.75">
      <c r="E129" s="35"/>
    </row>
    <row r="130" ht="12.75">
      <c r="E130" s="35"/>
    </row>
    <row r="131" ht="12.75">
      <c r="E131" s="35"/>
    </row>
    <row r="132" ht="12.75">
      <c r="E132" s="35"/>
    </row>
    <row r="133" ht="12.75">
      <c r="E133" s="35"/>
    </row>
    <row r="134" ht="12.75">
      <c r="E134" s="35"/>
    </row>
    <row r="135" ht="12.75">
      <c r="E135" s="35"/>
    </row>
    <row r="136" ht="12.75">
      <c r="E136" s="35"/>
    </row>
    <row r="137" ht="12.75">
      <c r="E137" s="35"/>
    </row>
    <row r="138" ht="12.75">
      <c r="E138" s="35"/>
    </row>
    <row r="139" ht="12.75">
      <c r="E139" s="35"/>
    </row>
    <row r="140" ht="12.75">
      <c r="E140" s="35"/>
    </row>
    <row r="141" ht="12.75">
      <c r="E141" s="35"/>
    </row>
    <row r="142" ht="12.75">
      <c r="E142" s="35"/>
    </row>
    <row r="143" ht="12.75">
      <c r="E143" s="35"/>
    </row>
    <row r="144" ht="12.75">
      <c r="E144" s="35"/>
    </row>
    <row r="145" ht="12.75">
      <c r="E145" s="35"/>
    </row>
    <row r="146" ht="12.75">
      <c r="E146" s="35"/>
    </row>
    <row r="147" ht="12.75">
      <c r="E147" s="35"/>
    </row>
    <row r="148" ht="12.75">
      <c r="E148" s="35"/>
    </row>
    <row r="149" ht="12.75">
      <c r="E149" s="35"/>
    </row>
    <row r="150" ht="12.75">
      <c r="E150" s="35"/>
    </row>
    <row r="151" ht="12.75">
      <c r="E151" s="35"/>
    </row>
    <row r="152" ht="12.75">
      <c r="E152" s="35"/>
    </row>
    <row r="153" ht="12.75">
      <c r="E153" s="35"/>
    </row>
    <row r="154" ht="12.75">
      <c r="E154" s="35"/>
    </row>
    <row r="155" ht="12.75">
      <c r="E155" s="35"/>
    </row>
    <row r="156" ht="12.75">
      <c r="E156" s="35"/>
    </row>
    <row r="157" ht="12.75">
      <c r="E157" s="35"/>
    </row>
    <row r="158" ht="12.75">
      <c r="E158" s="35"/>
    </row>
    <row r="159" ht="12.75">
      <c r="E159" s="35"/>
    </row>
    <row r="160" ht="12.75">
      <c r="E160" s="35"/>
    </row>
    <row r="161" ht="12.75">
      <c r="E161" s="35"/>
    </row>
    <row r="162" ht="12.75">
      <c r="E162" s="35"/>
    </row>
    <row r="163" ht="12.75">
      <c r="E163" s="35"/>
    </row>
    <row r="164" ht="12.75">
      <c r="E164" s="35"/>
    </row>
    <row r="165" ht="12.75">
      <c r="E165" s="35"/>
    </row>
    <row r="166" ht="12.75">
      <c r="E166" s="35"/>
    </row>
    <row r="167" ht="12.75">
      <c r="E167" s="35"/>
    </row>
    <row r="168" ht="12.75">
      <c r="E168" s="35"/>
    </row>
    <row r="169" ht="12.75">
      <c r="E169" s="35"/>
    </row>
    <row r="170" ht="12.75">
      <c r="E170" s="35"/>
    </row>
    <row r="171" ht="12.75">
      <c r="E171" s="35"/>
    </row>
    <row r="172" ht="12.75">
      <c r="E172" s="35"/>
    </row>
    <row r="173" ht="12.75">
      <c r="E173" s="35"/>
    </row>
    <row r="174" ht="12.75">
      <c r="E174" s="35"/>
    </row>
    <row r="175" ht="12.75">
      <c r="E175" s="35"/>
    </row>
    <row r="176" ht="12.75">
      <c r="E176" s="35"/>
    </row>
    <row r="177" ht="12.75">
      <c r="E177" s="35"/>
    </row>
    <row r="178" ht="12.75">
      <c r="E178" s="35"/>
    </row>
  </sheetData>
  <sheetProtection/>
  <printOptions horizontalCentered="1" verticalCentered="1"/>
  <pageMargins left="1.13" right="0.7874015748031497" top="0.984251968503937" bottom="0.984251968503937" header="0.5118110236220472" footer="0.5118110236220472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="75" zoomScaleNormal="75" zoomScalePageLayoutView="0" workbookViewId="0" topLeftCell="A58">
      <selection activeCell="B79" sqref="B79"/>
    </sheetView>
  </sheetViews>
  <sheetFormatPr defaultColWidth="11.421875" defaultRowHeight="12.75"/>
  <cols>
    <col min="1" max="1" width="46.57421875" style="0" customWidth="1"/>
    <col min="2" max="2" width="20.57421875" style="0" customWidth="1"/>
    <col min="3" max="3" width="19.28125" style="0" customWidth="1"/>
    <col min="4" max="4" width="7.7109375" style="0" customWidth="1"/>
    <col min="5" max="5" width="23.421875" style="0" customWidth="1"/>
    <col min="6" max="7" width="15.8515625" style="0" customWidth="1"/>
  </cols>
  <sheetData>
    <row r="1" spans="1:3" ht="15.75">
      <c r="A1" s="34" t="s">
        <v>68</v>
      </c>
      <c r="B1" s="5"/>
      <c r="C1" s="5"/>
    </row>
    <row r="2" spans="1:3" ht="12.75">
      <c r="A2" s="6"/>
      <c r="B2" s="5"/>
      <c r="C2" s="5"/>
    </row>
    <row r="3" spans="1:3" ht="12.75">
      <c r="A3" s="6" t="s">
        <v>162</v>
      </c>
      <c r="B3" s="5"/>
      <c r="C3" s="5"/>
    </row>
    <row r="4" spans="1:3" ht="12.75">
      <c r="A4" s="6" t="str">
        <f>+'comp.fiducol'!A4</f>
        <v>PORTAFOLIO ADMINISTRADO POR FIDUCOLOMBIA A NOVIEMBRE DE 2.000</v>
      </c>
      <c r="B4" s="5"/>
      <c r="C4" s="5"/>
    </row>
    <row r="5" spans="1:3" ht="12.75">
      <c r="A5" s="6" t="s">
        <v>2</v>
      </c>
      <c r="B5" s="5"/>
      <c r="C5" s="5"/>
    </row>
    <row r="6" ht="13.5" thickBot="1"/>
    <row r="7" spans="1:3" ht="13.5" thickBot="1">
      <c r="A7" s="7" t="s">
        <v>3</v>
      </c>
      <c r="B7" s="7" t="s">
        <v>4</v>
      </c>
      <c r="C7" s="7" t="s">
        <v>5</v>
      </c>
    </row>
    <row r="8" ht="13.5" thickBot="1"/>
    <row r="9" spans="1:6" s="45" customFormat="1" ht="12.75">
      <c r="A9" s="97" t="s">
        <v>166</v>
      </c>
      <c r="B9" s="59">
        <v>12037109943.29</v>
      </c>
      <c r="C9" s="98">
        <f aca="true" t="shared" si="0" ref="C9:C16">+B9/$B$30</f>
        <v>0.14148635572821147</v>
      </c>
      <c r="E9" s="44" t="s">
        <v>167</v>
      </c>
      <c r="F9" s="4" t="s">
        <v>168</v>
      </c>
    </row>
    <row r="10" spans="1:6" s="45" customFormat="1" ht="12.75">
      <c r="A10" s="40" t="s">
        <v>169</v>
      </c>
      <c r="B10" s="41">
        <f>11384735205.65-4749686656.36</f>
        <v>6635048549.29</v>
      </c>
      <c r="C10" s="42">
        <f t="shared" si="0"/>
        <v>0.07798955428184888</v>
      </c>
      <c r="E10" s="44" t="s">
        <v>170</v>
      </c>
      <c r="F10" s="4"/>
    </row>
    <row r="11" spans="1:6" s="45" customFormat="1" ht="12.75">
      <c r="A11" s="40" t="s">
        <v>171</v>
      </c>
      <c r="B11" s="41">
        <v>9790659082.73</v>
      </c>
      <c r="C11" s="42">
        <f t="shared" si="0"/>
        <v>0.1150811681806542</v>
      </c>
      <c r="E11" s="44" t="s">
        <v>172</v>
      </c>
      <c r="F11" s="4"/>
    </row>
    <row r="12" spans="1:6" s="45" customFormat="1" ht="12.75">
      <c r="A12" s="40" t="s">
        <v>173</v>
      </c>
      <c r="B12" s="41">
        <v>2033341242.91</v>
      </c>
      <c r="C12" s="42">
        <f t="shared" si="0"/>
        <v>0.023900258763656028</v>
      </c>
      <c r="E12" s="44" t="s">
        <v>174</v>
      </c>
      <c r="F12" s="4"/>
    </row>
    <row r="13" spans="1:6" s="45" customFormat="1" ht="12.75">
      <c r="A13" s="40" t="s">
        <v>134</v>
      </c>
      <c r="B13" s="41">
        <f>2593459764.4-59100819.47</f>
        <v>2534358944.9300003</v>
      </c>
      <c r="C13" s="42">
        <f t="shared" si="0"/>
        <v>0.029789310965397223</v>
      </c>
      <c r="E13" s="44" t="s">
        <v>175</v>
      </c>
      <c r="F13" s="4"/>
    </row>
    <row r="14" spans="1:6" s="45" customFormat="1" ht="12.75">
      <c r="A14" s="40" t="s">
        <v>176</v>
      </c>
      <c r="B14" s="41">
        <v>2037586935.58</v>
      </c>
      <c r="C14" s="42">
        <f t="shared" si="0"/>
        <v>0.023950163399091805</v>
      </c>
      <c r="E14" s="44" t="s">
        <v>177</v>
      </c>
      <c r="F14" s="4"/>
    </row>
    <row r="15" spans="1:6" s="45" customFormat="1" ht="12.75">
      <c r="A15" s="40" t="s">
        <v>138</v>
      </c>
      <c r="B15" s="41">
        <v>2372233023.25</v>
      </c>
      <c r="C15" s="42">
        <f t="shared" si="0"/>
        <v>0.027883653715804046</v>
      </c>
      <c r="E15" s="44" t="s">
        <v>178</v>
      </c>
      <c r="F15" s="4"/>
    </row>
    <row r="16" spans="1:6" s="45" customFormat="1" ht="12.75">
      <c r="A16" s="40" t="s">
        <v>140</v>
      </c>
      <c r="B16" s="41">
        <v>8542005387.59</v>
      </c>
      <c r="C16" s="42">
        <f t="shared" si="0"/>
        <v>0.1004042680173882</v>
      </c>
      <c r="E16" s="44" t="s">
        <v>179</v>
      </c>
      <c r="F16" s="4"/>
    </row>
    <row r="17" spans="1:6" s="45" customFormat="1" ht="12.75">
      <c r="A17" s="46" t="s">
        <v>24</v>
      </c>
      <c r="B17" s="47">
        <f>SUM(B9:B16)</f>
        <v>45982343109.57001</v>
      </c>
      <c r="C17" s="48">
        <f>SUM(C9:C16)</f>
        <v>0.5404847330520518</v>
      </c>
      <c r="E17" s="52" t="s">
        <v>180</v>
      </c>
      <c r="F17" s="4"/>
    </row>
    <row r="18" spans="1:6" s="45" customFormat="1" ht="12.75">
      <c r="A18" s="40" t="s">
        <v>181</v>
      </c>
      <c r="B18" s="41">
        <v>1005898137.82</v>
      </c>
      <c r="C18" s="42">
        <f>+B18/$B$30</f>
        <v>0.011823507671231479</v>
      </c>
      <c r="E18" s="44" t="s">
        <v>182</v>
      </c>
      <c r="F18" s="4"/>
    </row>
    <row r="19" spans="1:6" s="45" customFormat="1" ht="12.75">
      <c r="A19" s="40" t="s">
        <v>183</v>
      </c>
      <c r="B19" s="41">
        <v>0</v>
      </c>
      <c r="C19" s="42">
        <f>+B19/$B$30</f>
        <v>0</v>
      </c>
      <c r="E19" s="44" t="s">
        <v>184</v>
      </c>
      <c r="F19" s="4"/>
    </row>
    <row r="20" spans="1:6" s="45" customFormat="1" ht="12.75">
      <c r="A20" s="46" t="s">
        <v>30</v>
      </c>
      <c r="B20" s="47">
        <f>SUM(B18:B19)</f>
        <v>1005898137.82</v>
      </c>
      <c r="C20" s="48">
        <f>SUM(C18:C19)</f>
        <v>0.011823507671231479</v>
      </c>
      <c r="E20" s="52"/>
      <c r="F20" s="4"/>
    </row>
    <row r="21" spans="1:6" s="53" customFormat="1" ht="12.75">
      <c r="A21" s="40" t="s">
        <v>32</v>
      </c>
      <c r="B21" s="41">
        <v>2057508296.84</v>
      </c>
      <c r="C21" s="42">
        <f>+B21/$B$30</f>
        <v>0.024184322663159487</v>
      </c>
      <c r="E21" s="44"/>
      <c r="F21" s="4"/>
    </row>
    <row r="22" spans="1:6" s="45" customFormat="1" ht="12.75">
      <c r="A22" s="40" t="s">
        <v>34</v>
      </c>
      <c r="B22" s="41">
        <v>8175330333.27</v>
      </c>
      <c r="C22" s="42">
        <f>+B22/$B$30</f>
        <v>0.09609430346471744</v>
      </c>
      <c r="E22" s="44"/>
      <c r="F22" s="4"/>
    </row>
    <row r="23" spans="1:6" s="45" customFormat="1" ht="12.75">
      <c r="A23" s="40" t="s">
        <v>185</v>
      </c>
      <c r="B23" s="41">
        <v>5596867880.88</v>
      </c>
      <c r="C23" s="42">
        <f>+B23/$B$30</f>
        <v>0.06578659193849241</v>
      </c>
      <c r="E23" s="44"/>
      <c r="F23" s="44"/>
    </row>
    <row r="24" spans="1:6" s="45" customFormat="1" ht="12.75">
      <c r="A24" s="46" t="s">
        <v>36</v>
      </c>
      <c r="B24" s="47">
        <f>SUM(B21:B23)</f>
        <v>15829706510.990002</v>
      </c>
      <c r="C24" s="48">
        <f>SUM(C21:C23)</f>
        <v>0.18606521806636933</v>
      </c>
      <c r="E24" s="44"/>
      <c r="F24" s="4"/>
    </row>
    <row r="25" spans="1:6" s="53" customFormat="1" ht="12.75">
      <c r="A25" s="46" t="s">
        <v>115</v>
      </c>
      <c r="B25" s="47"/>
      <c r="C25" s="48">
        <f>+B25/$B$30</f>
        <v>0</v>
      </c>
      <c r="F25" s="4"/>
    </row>
    <row r="26" spans="1:6" s="53" customFormat="1" ht="12.75">
      <c r="A26" s="46" t="s">
        <v>186</v>
      </c>
      <c r="B26" s="47">
        <v>685924681.27</v>
      </c>
      <c r="C26" s="48">
        <f>+B26/$B$30</f>
        <v>0.008062482100284093</v>
      </c>
      <c r="F26" s="4"/>
    </row>
    <row r="27" spans="1:6" s="53" customFormat="1" ht="12.75">
      <c r="A27" s="46" t="s">
        <v>39</v>
      </c>
      <c r="B27" s="47">
        <v>21572245899.37</v>
      </c>
      <c r="C27" s="48">
        <f>+B27/$B$30</f>
        <v>0.2535640591100632</v>
      </c>
      <c r="F27" s="4"/>
    </row>
    <row r="28" spans="1:6" s="53" customFormat="1" ht="12.75">
      <c r="A28" s="46" t="s">
        <v>187</v>
      </c>
      <c r="B28" s="47"/>
      <c r="C28" s="48">
        <f>+B28/$B$30</f>
        <v>0</v>
      </c>
      <c r="F28" s="4"/>
    </row>
    <row r="29" spans="1:6" s="51" customFormat="1" ht="13.5" thickBot="1">
      <c r="A29" s="24"/>
      <c r="B29" s="78"/>
      <c r="C29" s="80"/>
      <c r="D29" s="26"/>
      <c r="F29" s="4"/>
    </row>
    <row r="30" spans="1:6" s="2" customFormat="1" ht="13.5" thickBot="1">
      <c r="A30" s="23" t="s">
        <v>116</v>
      </c>
      <c r="B30" s="12">
        <f>+B25+B24+B20+B17+B26+B27+B28</f>
        <v>85076118339.02</v>
      </c>
      <c r="C30" s="13">
        <f>+C25+C24+C20+C17+C26+C27+C28</f>
        <v>0.9999999999999999</v>
      </c>
      <c r="F30" s="4"/>
    </row>
    <row r="31" spans="2:6" ht="12.75">
      <c r="B31" s="4"/>
      <c r="F31" s="4"/>
    </row>
    <row r="32" spans="1:7" ht="12.75">
      <c r="A32" s="6" t="s">
        <v>42</v>
      </c>
      <c r="B32" s="14"/>
      <c r="C32" s="81"/>
      <c r="F32" s="4"/>
      <c r="G32" s="4"/>
    </row>
    <row r="33" spans="1:6" ht="13.5" thickBot="1">
      <c r="A33" s="2"/>
      <c r="F33" s="4"/>
    </row>
    <row r="34" spans="1:6" ht="13.5" thickBot="1">
      <c r="A34" s="11" t="s">
        <v>43</v>
      </c>
      <c r="B34" s="11" t="s">
        <v>44</v>
      </c>
      <c r="C34" s="11" t="s">
        <v>45</v>
      </c>
      <c r="F34" s="4"/>
    </row>
    <row r="35" ht="13.5" thickBot="1">
      <c r="A35" s="2"/>
    </row>
    <row r="36" spans="1:3" ht="12.75">
      <c r="A36" s="58" t="s">
        <v>46</v>
      </c>
      <c r="B36" s="82">
        <v>4749686656.36</v>
      </c>
      <c r="C36" s="60">
        <f>+B36/$B$41</f>
        <v>0.38426092602645123</v>
      </c>
    </row>
    <row r="37" spans="1:3" ht="12.75">
      <c r="A37" s="61" t="s">
        <v>18</v>
      </c>
      <c r="B37" s="39">
        <v>59100819.47</v>
      </c>
      <c r="C37" s="62">
        <f>+B37/$B$41</f>
        <v>0.004781396597616527</v>
      </c>
    </row>
    <row r="38" spans="1:3" ht="12.75">
      <c r="A38" s="61" t="s">
        <v>47</v>
      </c>
      <c r="B38" s="39">
        <v>3039638771.86</v>
      </c>
      <c r="C38" s="62">
        <f>+B38/$B$41</f>
        <v>0.2459139925992414</v>
      </c>
    </row>
    <row r="39" spans="1:3" ht="13.5" thickBot="1">
      <c r="A39" s="63" t="s">
        <v>97</v>
      </c>
      <c r="B39" s="73">
        <v>4512150471.56</v>
      </c>
      <c r="C39" s="83">
        <f>+B39/$B$41</f>
        <v>0.36504368477669086</v>
      </c>
    </row>
    <row r="40" spans="1:3" ht="13.5" thickBot="1">
      <c r="A40" s="2"/>
      <c r="C40" s="17"/>
    </row>
    <row r="41" spans="1:6" ht="13.5" thickBot="1">
      <c r="A41" s="11" t="s">
        <v>41</v>
      </c>
      <c r="B41" s="28">
        <f>SUM(B36:B40)</f>
        <v>12360576719.25</v>
      </c>
      <c r="C41" s="29">
        <f>+B41/$B$41</f>
        <v>1</v>
      </c>
      <c r="F41" s="4"/>
    </row>
    <row r="42" spans="2:6" ht="12.75">
      <c r="B42" s="4"/>
      <c r="F42" s="4"/>
    </row>
    <row r="43" spans="1:6" ht="12.75">
      <c r="A43" s="6" t="s">
        <v>50</v>
      </c>
      <c r="B43" s="14"/>
      <c r="C43" s="5"/>
      <c r="F43" s="4"/>
    </row>
    <row r="44" spans="1:6" ht="13.5" thickBot="1">
      <c r="A44" s="2"/>
      <c r="B44" s="4"/>
      <c r="F44" s="4"/>
    </row>
    <row r="45" spans="1:6" ht="13.5" thickBot="1">
      <c r="A45" s="11" t="s">
        <v>51</v>
      </c>
      <c r="B45" s="11" t="s">
        <v>4</v>
      </c>
      <c r="C45" s="11" t="s">
        <v>5</v>
      </c>
      <c r="F45" s="4"/>
    </row>
    <row r="46" spans="1:6" ht="13.5" thickBot="1">
      <c r="A46" s="84"/>
      <c r="B46" s="85"/>
      <c r="C46" s="84"/>
      <c r="F46" s="4"/>
    </row>
    <row r="47" spans="1:6" ht="12.75">
      <c r="A47" s="8" t="s">
        <v>52</v>
      </c>
      <c r="B47" s="37">
        <v>61804175495.46</v>
      </c>
      <c r="C47" s="86">
        <f>+B47/$B$53</f>
        <v>0.7264573972354545</v>
      </c>
      <c r="E47" s="35"/>
      <c r="F47" s="4"/>
    </row>
    <row r="48" spans="1:6" ht="12.75">
      <c r="A48" s="38" t="s">
        <v>188</v>
      </c>
      <c r="B48" s="39">
        <v>1013772262.93</v>
      </c>
      <c r="C48" s="86">
        <f>+B48/$B$53</f>
        <v>0.011916061554315592</v>
      </c>
      <c r="D48" s="4"/>
      <c r="E48" s="35"/>
      <c r="F48" s="4"/>
    </row>
    <row r="49" spans="1:6" ht="12.75">
      <c r="A49" s="38" t="s">
        <v>55</v>
      </c>
      <c r="B49" s="39">
        <f>189021349.3+2381710229.39+2330688243.11+5771294624.91+1630058703.39+6625669116.54+1542338135.44+1101465497.28</f>
        <v>21572245899.359997</v>
      </c>
      <c r="C49" s="86">
        <f>+B49/$B$53</f>
        <v>0.2535640591099456</v>
      </c>
      <c r="E49" s="35"/>
      <c r="F49" s="4"/>
    </row>
    <row r="50" spans="1:6" ht="12.75">
      <c r="A50" s="38" t="s">
        <v>56</v>
      </c>
      <c r="B50" s="39">
        <v>0</v>
      </c>
      <c r="C50" s="86"/>
      <c r="E50" s="35"/>
      <c r="F50" s="4"/>
    </row>
    <row r="51" spans="1:6" ht="13.5" thickBot="1">
      <c r="A51" s="56" t="s">
        <v>54</v>
      </c>
      <c r="B51" s="73">
        <v>685924681.27</v>
      </c>
      <c r="C51" s="65">
        <f>+B51/$B$53</f>
        <v>0.008062482100284093</v>
      </c>
      <c r="E51" s="35"/>
      <c r="F51" s="4"/>
    </row>
    <row r="52" spans="2:6" ht="13.5" thickBot="1">
      <c r="B52" s="4"/>
      <c r="C52" s="17"/>
      <c r="E52" s="35"/>
      <c r="F52" s="4"/>
    </row>
    <row r="53" spans="1:6" ht="13.5" thickBot="1">
      <c r="A53" s="11" t="s">
        <v>49</v>
      </c>
      <c r="B53" s="12">
        <f>SUM(B47:B51)</f>
        <v>85076118339.02</v>
      </c>
      <c r="C53" s="13">
        <f>SUM(C47:C52)</f>
        <v>0.9999999999999998</v>
      </c>
      <c r="E53" s="4"/>
      <c r="F53" s="4"/>
    </row>
    <row r="54" spans="2:6" ht="12.75">
      <c r="B54" s="4"/>
      <c r="C54" s="4"/>
      <c r="F54" s="4"/>
    </row>
    <row r="55" spans="1:6" ht="12.75">
      <c r="A55" s="6" t="s">
        <v>57</v>
      </c>
      <c r="B55" s="14"/>
      <c r="C55" s="14"/>
      <c r="F55" s="4"/>
    </row>
    <row r="56" spans="1:6" ht="13.5" thickBot="1">
      <c r="A56" s="2"/>
      <c r="B56" s="4"/>
      <c r="C56" s="4"/>
      <c r="F56" s="4"/>
    </row>
    <row r="57" spans="1:6" ht="13.5" thickBot="1">
      <c r="A57" s="11" t="s">
        <v>58</v>
      </c>
      <c r="B57" s="11" t="s">
        <v>4</v>
      </c>
      <c r="C57" s="11" t="s">
        <v>5</v>
      </c>
      <c r="F57" s="4"/>
    </row>
    <row r="58" ht="13.5" thickBot="1">
      <c r="F58" s="4"/>
    </row>
    <row r="59" spans="1:6" ht="12.75">
      <c r="A59" s="8" t="s">
        <v>189</v>
      </c>
      <c r="B59" s="59">
        <v>0</v>
      </c>
      <c r="C59" s="9">
        <f aca="true" t="shared" si="1" ref="C59:C66">+B59/$B$69</f>
        <v>0</v>
      </c>
      <c r="E59" s="4"/>
      <c r="F59" s="4"/>
    </row>
    <row r="60" spans="1:6" ht="12.75">
      <c r="A60" s="38" t="s">
        <v>190</v>
      </c>
      <c r="B60" s="39">
        <v>22258300995.55</v>
      </c>
      <c r="C60" s="10">
        <f t="shared" si="1"/>
        <v>0.2284385875592238</v>
      </c>
      <c r="E60" s="4"/>
      <c r="F60" s="4"/>
    </row>
    <row r="61" spans="1:6" ht="12.75">
      <c r="A61" s="38" t="s">
        <v>191</v>
      </c>
      <c r="B61" s="39">
        <v>25015682494.56</v>
      </c>
      <c r="C61" s="10">
        <f t="shared" si="1"/>
        <v>0.2567377975987372</v>
      </c>
      <c r="E61" s="4"/>
      <c r="F61" s="4"/>
    </row>
    <row r="62" spans="1:6" ht="12.75">
      <c r="A62" s="38" t="s">
        <v>192</v>
      </c>
      <c r="B62" s="39">
        <v>17289396874.82</v>
      </c>
      <c r="C62" s="10">
        <f t="shared" si="1"/>
        <v>0.17744235746584422</v>
      </c>
      <c r="E62" s="4"/>
      <c r="F62" s="4"/>
    </row>
    <row r="63" spans="1:6" ht="12.75">
      <c r="A63" s="38" t="s">
        <v>193</v>
      </c>
      <c r="B63" s="39">
        <v>5378930264.61</v>
      </c>
      <c r="C63" s="10">
        <f t="shared" si="1"/>
        <v>0.05520435870072607</v>
      </c>
      <c r="E63" s="4"/>
      <c r="F63" s="4"/>
    </row>
    <row r="64" spans="1:6" ht="12.75">
      <c r="A64" s="38" t="s">
        <v>194</v>
      </c>
      <c r="B64" s="39">
        <v>7562654265.51</v>
      </c>
      <c r="C64" s="10">
        <f t="shared" si="1"/>
        <v>0.07761607945535624</v>
      </c>
      <c r="E64" s="4"/>
      <c r="F64" s="4"/>
    </row>
    <row r="65" spans="1:6" ht="12.75">
      <c r="A65" s="38" t="s">
        <v>195</v>
      </c>
      <c r="B65" s="39">
        <v>7571153443.97</v>
      </c>
      <c r="C65" s="10">
        <f t="shared" si="1"/>
        <v>0.07770330715181</v>
      </c>
      <c r="E65" s="4"/>
      <c r="F65" s="4"/>
    </row>
    <row r="66" spans="1:6" ht="13.5" thickBot="1">
      <c r="A66" s="56"/>
      <c r="B66" s="73"/>
      <c r="C66" s="68">
        <f t="shared" si="1"/>
        <v>0</v>
      </c>
      <c r="E66" s="4"/>
      <c r="F66" s="4"/>
    </row>
    <row r="67" spans="1:3" s="2" customFormat="1" ht="13.5" thickBot="1">
      <c r="A67" s="11" t="s">
        <v>67</v>
      </c>
      <c r="B67" s="12">
        <f>SUM(B59:B66)</f>
        <v>85076118339.01999</v>
      </c>
      <c r="C67" s="13">
        <f>SUM(C59:C66)</f>
        <v>0.8731424879316975</v>
      </c>
    </row>
    <row r="68" spans="1:3" ht="13.5" thickBot="1">
      <c r="A68" s="38" t="s">
        <v>114</v>
      </c>
      <c r="B68" s="37">
        <f>+B41</f>
        <v>12360576719.25</v>
      </c>
      <c r="C68" s="10">
        <f>+B68/$B$69</f>
        <v>0.12685751206830254</v>
      </c>
    </row>
    <row r="69" spans="1:3" s="2" customFormat="1" ht="13.5" thickBot="1">
      <c r="A69" s="11" t="s">
        <v>41</v>
      </c>
      <c r="B69" s="12">
        <f>+B68+B67</f>
        <v>97436695058.26999</v>
      </c>
      <c r="C69" s="13">
        <f>+C68+C67</f>
        <v>1</v>
      </c>
    </row>
    <row r="70" ht="12.75">
      <c r="B70" s="4"/>
    </row>
    <row r="71" ht="12.75">
      <c r="B71" s="4"/>
    </row>
    <row r="72" ht="12.75">
      <c r="B72" s="4"/>
    </row>
  </sheetData>
  <sheetProtection/>
  <printOptions horizontalCentered="1"/>
  <pageMargins left="0.7874015748031497" right="0.7874015748031497" top="0.88" bottom="1.84" header="0.34" footer="1.51"/>
  <pageSetup fitToHeight="1" fitToWidth="1" horizontalDpi="300" verticalDpi="300" orientation="portrait" scale="68" r:id="rId1"/>
  <headerFooter alignWithMargins="0">
    <oddFooter>&amp;CPreparado por FIDUCOLOMBIA S.A. &amp;D&amp;RPágina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showGridLines="0"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46.57421875" style="0" customWidth="1"/>
    <col min="2" max="2" width="20.57421875" style="0" customWidth="1"/>
    <col min="3" max="3" width="18.421875" style="0" customWidth="1"/>
    <col min="4" max="4" width="8.421875" style="0" customWidth="1"/>
    <col min="5" max="5" width="16.421875" style="0" customWidth="1"/>
    <col min="6" max="7" width="15.8515625" style="0" customWidth="1"/>
    <col min="8" max="8" width="17.7109375" style="0" customWidth="1"/>
  </cols>
  <sheetData>
    <row r="1" spans="1:3" ht="15.75">
      <c r="A1" s="34" t="s">
        <v>68</v>
      </c>
      <c r="B1" s="5"/>
      <c r="C1" s="5"/>
    </row>
    <row r="2" spans="1:3" ht="12.75">
      <c r="A2" s="6"/>
      <c r="B2" s="5"/>
      <c r="C2" s="5"/>
    </row>
    <row r="3" spans="1:3" ht="12.75">
      <c r="A3" s="6" t="s">
        <v>196</v>
      </c>
      <c r="B3" s="5"/>
      <c r="C3" s="5"/>
    </row>
    <row r="4" spans="1:3" ht="12.75">
      <c r="A4" s="6" t="str">
        <f>+'ecat.fiducol'!A4</f>
        <v>PORTAFOLIO ADMINISTRADO POR FIDUCOLOMBIA A NOVIEMBRE DE 2.000</v>
      </c>
      <c r="B4" s="5"/>
      <c r="C4" s="5"/>
    </row>
    <row r="5" spans="1:3" ht="12.75">
      <c r="A5" s="6" t="s">
        <v>2</v>
      </c>
      <c r="B5" s="5"/>
      <c r="C5" s="5"/>
    </row>
    <row r="6" ht="13.5" thickBot="1"/>
    <row r="7" spans="1:3" ht="13.5" thickBot="1">
      <c r="A7" s="7" t="s">
        <v>3</v>
      </c>
      <c r="B7" s="7" t="s">
        <v>4</v>
      </c>
      <c r="C7" s="7" t="s">
        <v>5</v>
      </c>
    </row>
    <row r="8" ht="13.5" thickBot="1">
      <c r="C8" s="3"/>
    </row>
    <row r="9" spans="1:7" ht="12.75">
      <c r="A9" s="8" t="s">
        <v>197</v>
      </c>
      <c r="B9" s="37">
        <v>5056336843.41</v>
      </c>
      <c r="C9" s="9">
        <f aca="true" t="shared" si="0" ref="C9:C17">+B9/$B$29</f>
        <v>0.0906639737886863</v>
      </c>
      <c r="D9" s="4"/>
      <c r="E9" s="4" t="s">
        <v>39</v>
      </c>
      <c r="F9" s="4"/>
      <c r="G9" s="4"/>
    </row>
    <row r="10" spans="1:7" s="45" customFormat="1" ht="12.75">
      <c r="A10" s="40" t="s">
        <v>169</v>
      </c>
      <c r="B10" s="41">
        <f>12550204790.91-5173118802.21</f>
        <v>7377085988.7</v>
      </c>
      <c r="C10" s="42">
        <f t="shared" si="0"/>
        <v>0.13227677495182816</v>
      </c>
      <c r="E10" s="44" t="s">
        <v>120</v>
      </c>
      <c r="F10" s="4"/>
      <c r="G10" s="4"/>
    </row>
    <row r="11" spans="1:7" s="45" customFormat="1" ht="12.75">
      <c r="A11" s="40" t="s">
        <v>171</v>
      </c>
      <c r="B11" s="41">
        <v>4572004534.37</v>
      </c>
      <c r="C11" s="42">
        <f t="shared" si="0"/>
        <v>0.0819795263059109</v>
      </c>
      <c r="E11" s="44" t="s">
        <v>127</v>
      </c>
      <c r="F11" s="4"/>
      <c r="G11" s="4"/>
    </row>
    <row r="12" spans="1:7" s="45" customFormat="1" ht="12.75">
      <c r="A12" s="40" t="s">
        <v>198</v>
      </c>
      <c r="B12" s="41">
        <v>6249780559.25</v>
      </c>
      <c r="C12" s="42">
        <f t="shared" si="0"/>
        <v>0.11206332931465604</v>
      </c>
      <c r="E12" s="44" t="s">
        <v>131</v>
      </c>
      <c r="F12" s="4"/>
      <c r="G12" s="4"/>
    </row>
    <row r="13" spans="1:7" s="45" customFormat="1" ht="12.75">
      <c r="A13" s="40" t="s">
        <v>199</v>
      </c>
      <c r="B13" s="41">
        <v>2063435822.71</v>
      </c>
      <c r="C13" s="42">
        <f t="shared" si="0"/>
        <v>0.03699897715252872</v>
      </c>
      <c r="E13" s="44" t="s">
        <v>135</v>
      </c>
      <c r="F13" s="4"/>
      <c r="G13" s="4"/>
    </row>
    <row r="14" spans="1:7" s="45" customFormat="1" ht="12.75">
      <c r="A14" s="40" t="s">
        <v>138</v>
      </c>
      <c r="B14" s="41">
        <v>522531204.96</v>
      </c>
      <c r="C14" s="42">
        <f t="shared" si="0"/>
        <v>0.009369382803680958</v>
      </c>
      <c r="E14" s="44" t="s">
        <v>200</v>
      </c>
      <c r="F14" s="4"/>
      <c r="G14" s="4"/>
    </row>
    <row r="15" spans="1:7" s="45" customFormat="1" ht="12.75">
      <c r="A15" s="40" t="s">
        <v>201</v>
      </c>
      <c r="B15" s="41">
        <v>2037578056.08</v>
      </c>
      <c r="C15" s="42">
        <f t="shared" si="0"/>
        <v>0.03653532768680301</v>
      </c>
      <c r="E15" s="44" t="s">
        <v>137</v>
      </c>
      <c r="F15" s="4"/>
      <c r="G15" s="4"/>
    </row>
    <row r="16" spans="1:7" s="45" customFormat="1" ht="12.75">
      <c r="A16" s="40" t="s">
        <v>135</v>
      </c>
      <c r="B16" s="41">
        <f>1662478940.89-40489216.14</f>
        <v>1621989724.75</v>
      </c>
      <c r="C16" s="42">
        <f t="shared" si="0"/>
        <v>0.029083512124377722</v>
      </c>
      <c r="E16" s="44" t="s">
        <v>139</v>
      </c>
      <c r="F16" s="4"/>
      <c r="G16" s="4"/>
    </row>
    <row r="17" spans="1:7" s="45" customFormat="1" ht="12.75">
      <c r="A17" s="40" t="s">
        <v>140</v>
      </c>
      <c r="B17" s="41">
        <v>4372354896.96</v>
      </c>
      <c r="C17" s="42">
        <f t="shared" si="0"/>
        <v>0.07839965612446674</v>
      </c>
      <c r="E17" s="44" t="s">
        <v>146</v>
      </c>
      <c r="F17" s="4"/>
      <c r="G17" s="4"/>
    </row>
    <row r="18" spans="1:7" s="53" customFormat="1" ht="12.75">
      <c r="A18" s="46" t="s">
        <v>24</v>
      </c>
      <c r="B18" s="47">
        <f>SUM(B9:B17)</f>
        <v>33873097631.189995</v>
      </c>
      <c r="C18" s="48">
        <f>SUM(C9:C17)</f>
        <v>0.6073704602529385</v>
      </c>
      <c r="E18" s="52" t="s">
        <v>144</v>
      </c>
      <c r="F18" s="4"/>
      <c r="G18" s="4"/>
    </row>
    <row r="19" spans="1:7" s="45" customFormat="1" ht="12.75">
      <c r="A19" s="40" t="s">
        <v>202</v>
      </c>
      <c r="B19" s="41">
        <f>6424702181.18-3038266519.68</f>
        <v>3386435661.5000005</v>
      </c>
      <c r="C19" s="42">
        <f>+B19/$B$29</f>
        <v>0.060721372716982344</v>
      </c>
      <c r="E19" s="44"/>
      <c r="F19" s="4"/>
      <c r="G19" s="4"/>
    </row>
    <row r="20" spans="1:7" s="53" customFormat="1" ht="12.75">
      <c r="A20" s="46" t="s">
        <v>30</v>
      </c>
      <c r="B20" s="47">
        <f>SUM(B19:B19)</f>
        <v>3386435661.5000005</v>
      </c>
      <c r="C20" s="48">
        <f>SUM(C19:C19)</f>
        <v>0.060721372716982344</v>
      </c>
      <c r="E20" s="52"/>
      <c r="F20" s="4"/>
      <c r="G20" s="4"/>
    </row>
    <row r="21" spans="1:7" s="45" customFormat="1" ht="12.75">
      <c r="A21" s="40" t="s">
        <v>203</v>
      </c>
      <c r="B21" s="41">
        <v>4556092808.24</v>
      </c>
      <c r="C21" s="42">
        <f>+B21/$B$29</f>
        <v>0.08169421692770694</v>
      </c>
      <c r="E21" s="44"/>
      <c r="F21" s="4"/>
      <c r="G21" s="4"/>
    </row>
    <row r="22" spans="1:7" s="45" customFormat="1" ht="12.75">
      <c r="A22" s="40" t="s">
        <v>204</v>
      </c>
      <c r="B22" s="41">
        <v>1029144877.44</v>
      </c>
      <c r="C22" s="42">
        <f>+B22/$B$29</f>
        <v>0.018453352116876574</v>
      </c>
      <c r="E22" s="44"/>
      <c r="F22" s="4"/>
      <c r="G22" s="4"/>
    </row>
    <row r="23" spans="1:7" s="53" customFormat="1" ht="12.75">
      <c r="A23" s="46" t="s">
        <v>36</v>
      </c>
      <c r="B23" s="47">
        <f>SUM(B21:B22)</f>
        <v>5585237685.68</v>
      </c>
      <c r="C23" s="48">
        <f>SUM(C21:C22)</f>
        <v>0.10014756904458351</v>
      </c>
      <c r="F23" s="4"/>
      <c r="G23" s="4"/>
    </row>
    <row r="24" spans="1:7" ht="12.75">
      <c r="A24" s="46" t="s">
        <v>205</v>
      </c>
      <c r="B24" s="47"/>
      <c r="C24" s="48">
        <f>+B24/$B$29</f>
        <v>0</v>
      </c>
      <c r="F24" s="4"/>
      <c r="G24" s="4"/>
    </row>
    <row r="25" spans="1:7" ht="12.75">
      <c r="A25" s="46" t="s">
        <v>206</v>
      </c>
      <c r="B25" s="47"/>
      <c r="C25" s="48">
        <f>+B25/$B$29</f>
        <v>0</v>
      </c>
      <c r="F25" s="4"/>
      <c r="G25" s="4"/>
    </row>
    <row r="26" spans="1:7" ht="12.75">
      <c r="A26" s="46" t="s">
        <v>207</v>
      </c>
      <c r="B26" s="47"/>
      <c r="C26" s="48">
        <f>+B26/$B$29</f>
        <v>0</v>
      </c>
      <c r="F26" s="4"/>
      <c r="G26" s="4"/>
    </row>
    <row r="27" spans="1:7" ht="12.75">
      <c r="A27" s="46" t="s">
        <v>208</v>
      </c>
      <c r="B27" s="47">
        <v>12925306507.92</v>
      </c>
      <c r="C27" s="48">
        <f>+B27/$B$29</f>
        <v>0.2317605979854957</v>
      </c>
      <c r="F27" s="4"/>
      <c r="G27" s="4"/>
    </row>
    <row r="28" spans="1:7" ht="13.5" thickBot="1">
      <c r="A28" s="46" t="s">
        <v>209</v>
      </c>
      <c r="B28" s="47"/>
      <c r="C28" s="48">
        <f>+B28/$B$29</f>
        <v>0</v>
      </c>
      <c r="F28" s="4"/>
      <c r="G28" s="4"/>
    </row>
    <row r="29" spans="1:7" s="53" customFormat="1" ht="13.5" thickBot="1">
      <c r="A29" s="27" t="s">
        <v>116</v>
      </c>
      <c r="B29" s="28">
        <f>B23+B20+B18+B24+B25+B27+B26+B28</f>
        <v>55770077486.28999</v>
      </c>
      <c r="C29" s="29">
        <f>C23+C20+C18+C24+C25+C27+C26+C28</f>
        <v>1</v>
      </c>
      <c r="E29" s="52"/>
      <c r="F29" s="4"/>
      <c r="G29" s="4"/>
    </row>
    <row r="30" spans="2:7" ht="12.75">
      <c r="B30" s="4"/>
      <c r="F30" s="4"/>
      <c r="G30" s="4"/>
    </row>
    <row r="31" spans="2:7" ht="12.75">
      <c r="B31" s="4"/>
      <c r="F31" s="4"/>
      <c r="G31" s="4"/>
    </row>
    <row r="32" spans="1:7" ht="12.75">
      <c r="A32" s="6" t="s">
        <v>42</v>
      </c>
      <c r="B32" s="5"/>
      <c r="C32" s="5"/>
      <c r="F32" s="4"/>
      <c r="G32" s="4"/>
    </row>
    <row r="33" spans="1:7" ht="13.5" thickBot="1">
      <c r="A33" s="2"/>
      <c r="F33" s="4"/>
      <c r="G33" s="4"/>
    </row>
    <row r="34" spans="1:7" ht="13.5" thickBot="1">
      <c r="A34" s="11" t="s">
        <v>43</v>
      </c>
      <c r="B34" s="11" t="s">
        <v>44</v>
      </c>
      <c r="C34" s="11" t="s">
        <v>45</v>
      </c>
      <c r="F34" s="4"/>
      <c r="G34" s="4"/>
    </row>
    <row r="35" spans="1:7" ht="13.5" thickBot="1">
      <c r="A35" s="2"/>
      <c r="G35" s="4"/>
    </row>
    <row r="36" spans="1:7" ht="12.75">
      <c r="A36" s="15" t="s">
        <v>46</v>
      </c>
      <c r="B36" s="82">
        <v>5173118802.21</v>
      </c>
      <c r="C36" s="60">
        <f>+B36/$B$41</f>
        <v>0.38436923791288274</v>
      </c>
      <c r="F36" s="4"/>
      <c r="G36" s="4"/>
    </row>
    <row r="37" spans="1:7" ht="12.75">
      <c r="A37" s="22" t="s">
        <v>18</v>
      </c>
      <c r="B37" s="87">
        <v>40489216.14</v>
      </c>
      <c r="C37" s="62">
        <f>+B37/$B$41</f>
        <v>0.0030083997190965784</v>
      </c>
      <c r="F37" s="4"/>
      <c r="G37" s="4"/>
    </row>
    <row r="38" spans="1:7" ht="12.75">
      <c r="A38" s="61" t="s">
        <v>47</v>
      </c>
      <c r="B38" s="87">
        <v>3038266519.68</v>
      </c>
      <c r="C38" s="62">
        <f>+B38/$B$41</f>
        <v>0.225747026387008</v>
      </c>
      <c r="F38" s="4"/>
      <c r="G38" s="4"/>
    </row>
    <row r="39" spans="1:7" ht="13.5" thickBot="1">
      <c r="A39" s="24" t="s">
        <v>48</v>
      </c>
      <c r="B39" s="73">
        <v>5206847679.96</v>
      </c>
      <c r="C39" s="83">
        <f>+B39/$B$41</f>
        <v>0.38687533598101254</v>
      </c>
      <c r="F39" s="4"/>
      <c r="G39" s="4"/>
    </row>
    <row r="40" spans="1:7" ht="13.5" thickBot="1">
      <c r="A40" s="2"/>
      <c r="F40" s="4"/>
      <c r="G40" s="4"/>
    </row>
    <row r="41" spans="1:7" s="53" customFormat="1" ht="13.5" thickBot="1">
      <c r="A41" s="27" t="s">
        <v>41</v>
      </c>
      <c r="B41" s="28">
        <f>SUM(B36:B40)</f>
        <v>13458722217.990002</v>
      </c>
      <c r="C41" s="88">
        <f>SUM(C36:C40)</f>
        <v>0.9999999999999999</v>
      </c>
      <c r="F41" s="44"/>
      <c r="G41" s="4"/>
    </row>
    <row r="42" spans="2:7" ht="12.75">
      <c r="B42" s="4"/>
      <c r="F42" s="4"/>
      <c r="G42" s="4"/>
    </row>
    <row r="43" spans="1:7" ht="12.75">
      <c r="A43" s="6" t="s">
        <v>50</v>
      </c>
      <c r="B43" s="14"/>
      <c r="C43" s="5"/>
      <c r="F43" s="4"/>
      <c r="G43" s="4"/>
    </row>
    <row r="44" spans="1:7" ht="13.5" thickBot="1">
      <c r="A44" s="2"/>
      <c r="B44" s="4"/>
      <c r="C44" s="4"/>
      <c r="F44" s="4"/>
      <c r="G44" s="4"/>
    </row>
    <row r="45" spans="1:7" ht="13.5" thickBot="1">
      <c r="A45" s="11" t="s">
        <v>51</v>
      </c>
      <c r="B45" s="11" t="s">
        <v>4</v>
      </c>
      <c r="C45" s="11" t="s">
        <v>5</v>
      </c>
      <c r="F45" s="4"/>
      <c r="G45" s="4"/>
    </row>
    <row r="46" spans="6:7" ht="13.5" thickBot="1">
      <c r="F46" s="4"/>
      <c r="G46" s="4"/>
    </row>
    <row r="47" spans="1:7" ht="12.75">
      <c r="A47" s="8" t="s">
        <v>210</v>
      </c>
      <c r="B47" s="37">
        <v>41830998715.44</v>
      </c>
      <c r="C47" s="9">
        <f>+B47/$B$53</f>
        <v>0.7500616925935479</v>
      </c>
      <c r="E47" s="89"/>
      <c r="F47" s="4"/>
      <c r="G47" s="4"/>
    </row>
    <row r="48" spans="1:7" ht="12.75">
      <c r="A48" s="38" t="s">
        <v>211</v>
      </c>
      <c r="B48" s="39">
        <v>1013772262.94</v>
      </c>
      <c r="C48" s="10">
        <f>+B48/$B$53</f>
        <v>0.018177709421135668</v>
      </c>
      <c r="E48" s="89"/>
      <c r="F48" s="4"/>
      <c r="G48" s="4"/>
    </row>
    <row r="49" spans="1:7" ht="12.75">
      <c r="A49" s="38" t="s">
        <v>212</v>
      </c>
      <c r="B49" s="39">
        <f>1101465497.28+574511974.44+3744260334.76+1464069482.35+6040999219.08</f>
        <v>12925306507.91</v>
      </c>
      <c r="C49" s="10">
        <f>+B49/$B$53</f>
        <v>0.23176059798531634</v>
      </c>
      <c r="E49" s="89"/>
      <c r="F49" s="4"/>
      <c r="G49" s="4"/>
    </row>
    <row r="50" spans="1:7" ht="12.75">
      <c r="A50" s="38" t="s">
        <v>213</v>
      </c>
      <c r="B50" s="39">
        <v>0</v>
      </c>
      <c r="C50" s="10">
        <f>+B50/$B$53</f>
        <v>0</v>
      </c>
      <c r="E50" s="89"/>
      <c r="F50" s="4"/>
      <c r="G50" s="4"/>
    </row>
    <row r="51" spans="1:7" s="3" customFormat="1" ht="13.5" thickBot="1">
      <c r="A51" s="56" t="s">
        <v>214</v>
      </c>
      <c r="B51" s="73">
        <v>0</v>
      </c>
      <c r="C51" s="68">
        <f>+B51/$B$53</f>
        <v>0</v>
      </c>
      <c r="E51"/>
      <c r="F51" s="4"/>
      <c r="G51" s="4"/>
    </row>
    <row r="52" spans="2:7" ht="13.5" thickBot="1">
      <c r="B52" s="4"/>
      <c r="C52" s="17"/>
      <c r="F52" s="4"/>
      <c r="G52" s="4"/>
    </row>
    <row r="53" spans="1:7" ht="13.5" thickBot="1">
      <c r="A53" s="11" t="s">
        <v>49</v>
      </c>
      <c r="B53" s="12">
        <f>SUM(B47:B51)</f>
        <v>55770077486.29001</v>
      </c>
      <c r="C53" s="13">
        <f>SUM(C47:C52)</f>
        <v>1</v>
      </c>
      <c r="F53" s="4"/>
      <c r="G53" s="4"/>
    </row>
    <row r="54" spans="2:7" ht="12.75">
      <c r="B54" s="4"/>
      <c r="C54" s="4"/>
      <c r="F54" s="4"/>
      <c r="G54" s="4"/>
    </row>
    <row r="55" spans="1:7" ht="12.75">
      <c r="A55" s="6" t="s">
        <v>57</v>
      </c>
      <c r="B55" s="14"/>
      <c r="C55" s="14"/>
      <c r="F55" s="4"/>
      <c r="G55" s="4"/>
    </row>
    <row r="56" spans="1:7" ht="13.5" thickBot="1">
      <c r="A56" s="2"/>
      <c r="B56" s="4"/>
      <c r="C56" s="4"/>
      <c r="D56" s="4"/>
      <c r="F56" s="4"/>
      <c r="G56" s="4"/>
    </row>
    <row r="57" spans="1:7" ht="13.5" thickBot="1">
      <c r="A57" s="11" t="s">
        <v>58</v>
      </c>
      <c r="B57" s="11" t="s">
        <v>4</v>
      </c>
      <c r="C57" s="11" t="s">
        <v>5</v>
      </c>
      <c r="F57" s="4"/>
      <c r="G57" s="4"/>
    </row>
    <row r="58" spans="3:7" ht="13.5" thickBot="1">
      <c r="C58" s="4"/>
      <c r="F58" s="4"/>
      <c r="G58" s="4"/>
    </row>
    <row r="59" spans="1:7" ht="12.75">
      <c r="A59" s="8" t="s">
        <v>215</v>
      </c>
      <c r="B59" s="37">
        <v>0</v>
      </c>
      <c r="C59" s="9">
        <f aca="true" t="shared" si="1" ref="C59:C66">+B59/$B$69</f>
        <v>0</v>
      </c>
      <c r="F59" s="4"/>
      <c r="G59" s="4"/>
    </row>
    <row r="60" spans="1:7" ht="12.75">
      <c r="A60" s="38" t="s">
        <v>216</v>
      </c>
      <c r="B60" s="39">
        <v>11458850347.7</v>
      </c>
      <c r="C60" s="10">
        <f t="shared" si="1"/>
        <v>0.16552143611687622</v>
      </c>
      <c r="F60" s="4"/>
      <c r="G60" s="4"/>
    </row>
    <row r="61" spans="1:7" ht="12.75">
      <c r="A61" s="38" t="s">
        <v>217</v>
      </c>
      <c r="B61" s="39">
        <v>14828610479.26</v>
      </c>
      <c r="C61" s="10">
        <f t="shared" si="1"/>
        <v>0.2141971338893983</v>
      </c>
      <c r="F61" s="4"/>
      <c r="G61" s="4"/>
    </row>
    <row r="62" spans="1:7" ht="12.75">
      <c r="A62" s="38" t="s">
        <v>218</v>
      </c>
      <c r="B62" s="39">
        <v>6837855347.71</v>
      </c>
      <c r="C62" s="10">
        <f t="shared" si="1"/>
        <v>0.09877183162092663</v>
      </c>
      <c r="F62" s="4"/>
      <c r="G62" s="4"/>
    </row>
    <row r="63" spans="1:7" ht="12.75">
      <c r="A63" s="38" t="s">
        <v>219</v>
      </c>
      <c r="B63" s="39">
        <v>12262038429.03</v>
      </c>
      <c r="C63" s="10">
        <f t="shared" si="1"/>
        <v>0.17712337179626</v>
      </c>
      <c r="F63" s="4"/>
      <c r="G63" s="4"/>
    </row>
    <row r="64" spans="1:7" ht="12.75">
      <c r="A64" s="38" t="s">
        <v>220</v>
      </c>
      <c r="B64" s="39">
        <v>4084202979.88</v>
      </c>
      <c r="C64" s="10">
        <f t="shared" si="1"/>
        <v>0.05899572139523168</v>
      </c>
      <c r="F64" s="4"/>
      <c r="G64" s="4"/>
    </row>
    <row r="65" spans="1:7" ht="12.75">
      <c r="A65" s="38" t="s">
        <v>221</v>
      </c>
      <c r="B65" s="39">
        <v>6298519902.71</v>
      </c>
      <c r="C65" s="10">
        <f t="shared" si="1"/>
        <v>0.09098120911549765</v>
      </c>
      <c r="F65" s="4"/>
      <c r="G65" s="4"/>
    </row>
    <row r="66" spans="1:7" s="2" customFormat="1" ht="13.5" thickBot="1">
      <c r="A66" s="56"/>
      <c r="B66" s="73"/>
      <c r="C66" s="68">
        <f t="shared" si="1"/>
        <v>0</v>
      </c>
      <c r="E66" s="45"/>
      <c r="F66" s="44"/>
      <c r="G66" s="4"/>
    </row>
    <row r="67" spans="1:9" ht="13.5" thickBot="1">
      <c r="A67" s="22" t="s">
        <v>67</v>
      </c>
      <c r="B67" s="90">
        <f>SUM(B59:B66)</f>
        <v>55770077486.28999</v>
      </c>
      <c r="C67" s="91">
        <f>SUM(C59:C66)</f>
        <v>0.8055907039341905</v>
      </c>
      <c r="F67" s="4"/>
      <c r="G67" s="4"/>
      <c r="H67" s="35"/>
      <c r="I67" s="17"/>
    </row>
    <row r="68" spans="1:7" s="2" customFormat="1" ht="13.5" thickBot="1">
      <c r="A68" s="75" t="s">
        <v>114</v>
      </c>
      <c r="B68" s="76">
        <f>+B41</f>
        <v>13458722217.990002</v>
      </c>
      <c r="C68" s="92">
        <f>+B68/$B$69</f>
        <v>0.1944092960658096</v>
      </c>
      <c r="F68" s="4"/>
      <c r="G68" s="4"/>
    </row>
    <row r="69" spans="1:7" ht="13.5" thickBot="1">
      <c r="A69" s="24" t="s">
        <v>41</v>
      </c>
      <c r="B69" s="78">
        <f>+B68+B67</f>
        <v>69228799704.28</v>
      </c>
      <c r="C69" s="93">
        <f>+C68+C67</f>
        <v>1</v>
      </c>
      <c r="F69" s="4"/>
      <c r="G69" s="4"/>
    </row>
    <row r="70" spans="1:7" s="53" customFormat="1" ht="12.75">
      <c r="A70" s="51"/>
      <c r="B70" s="26"/>
      <c r="C70" s="94"/>
      <c r="F70" s="4"/>
      <c r="G70" s="4"/>
    </row>
    <row r="71" spans="1:7" ht="12.75">
      <c r="A71" s="3"/>
      <c r="B71" s="16"/>
      <c r="C71" s="3"/>
      <c r="F71" s="4"/>
      <c r="G71" s="4"/>
    </row>
    <row r="72" spans="1:7" ht="12.75">
      <c r="A72" s="3"/>
      <c r="B72" s="16"/>
      <c r="C72" s="3"/>
      <c r="F72" s="4"/>
      <c r="G72" s="4"/>
    </row>
    <row r="73" spans="2:7" ht="12.75">
      <c r="B73" s="4"/>
      <c r="F73" s="4"/>
      <c r="G73" s="4"/>
    </row>
    <row r="74" spans="2:7" ht="12.75">
      <c r="B74" s="4"/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</sheetData>
  <sheetProtection/>
  <printOptions horizontalCentered="1"/>
  <pageMargins left="0.7874015748031497" right="0.7874015748031497" top="0.92" bottom="1.52" header="0.31" footer="1.29"/>
  <pageSetup fitToHeight="1" fitToWidth="1" horizontalDpi="300" verticalDpi="300" orientation="portrait" scale="10" r:id="rId1"/>
  <headerFooter alignWithMargins="0">
    <oddFooter>&amp;CPreparado por FIDUCOLOMBIA S.A. &amp;D&amp;RPágina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zoomScalePageLayoutView="0" workbookViewId="0" topLeftCell="A13">
      <selection activeCell="B27" sqref="B27"/>
    </sheetView>
  </sheetViews>
  <sheetFormatPr defaultColWidth="11.421875" defaultRowHeight="12.75"/>
  <cols>
    <col min="1" max="1" width="30.7109375" style="0" customWidth="1"/>
    <col min="2" max="2" width="28.7109375" style="0" customWidth="1"/>
    <col min="3" max="3" width="15.57421875" style="0" customWidth="1"/>
    <col min="4" max="4" width="17.00390625" style="0" customWidth="1"/>
    <col min="5" max="5" width="27.00390625" style="35" customWidth="1"/>
  </cols>
  <sheetData>
    <row r="2" spans="1:3" ht="18">
      <c r="A2" s="30" t="s">
        <v>68</v>
      </c>
      <c r="B2" s="5"/>
      <c r="C2" s="5"/>
    </row>
    <row r="3" spans="1:3" ht="15.75">
      <c r="A3" s="95" t="s">
        <v>196</v>
      </c>
      <c r="B3" s="5"/>
      <c r="C3" s="5"/>
    </row>
    <row r="4" spans="1:3" ht="12.75">
      <c r="A4" s="6" t="s">
        <v>69</v>
      </c>
      <c r="B4" s="5"/>
      <c r="C4" s="5"/>
    </row>
    <row r="5" spans="1:3" ht="12.75">
      <c r="A5" s="6" t="s">
        <v>70</v>
      </c>
      <c r="B5" s="6"/>
      <c r="C5" s="5"/>
    </row>
    <row r="6" spans="1:3" ht="13.5" thickBot="1">
      <c r="A6" s="5"/>
      <c r="B6" s="5"/>
      <c r="C6" s="5"/>
    </row>
    <row r="7" spans="1:3" ht="13.5" thickBot="1">
      <c r="A7" s="159" t="s">
        <v>3</v>
      </c>
      <c r="B7" s="207" t="s">
        <v>71</v>
      </c>
      <c r="C7" s="208" t="s">
        <v>5</v>
      </c>
    </row>
    <row r="8" spans="1:3" ht="12.75">
      <c r="A8" s="125" t="s">
        <v>76</v>
      </c>
      <c r="B8" s="145">
        <v>5037051182.16</v>
      </c>
      <c r="C8" s="127">
        <f aca="true" t="shared" si="0" ref="C8:C18">+B8/$B$39</f>
        <v>0.07205327271620256</v>
      </c>
    </row>
    <row r="9" spans="1:5" ht="12.75">
      <c r="A9" s="125" t="s">
        <v>77</v>
      </c>
      <c r="B9" s="145">
        <v>2259649904.09</v>
      </c>
      <c r="C9" s="127">
        <f t="shared" si="0"/>
        <v>0.03232350931020696</v>
      </c>
      <c r="E9" s="35">
        <v>39497642.23</v>
      </c>
    </row>
    <row r="10" spans="1:5" ht="12.75">
      <c r="A10" s="125" t="s">
        <v>222</v>
      </c>
      <c r="B10" s="145">
        <f>E11</f>
        <v>0</v>
      </c>
      <c r="C10" s="127">
        <f t="shared" si="0"/>
        <v>0</v>
      </c>
      <c r="E10" s="35">
        <v>-39497642.23</v>
      </c>
    </row>
    <row r="11" spans="1:5" ht="12.75">
      <c r="A11" s="125" t="s">
        <v>78</v>
      </c>
      <c r="B11" s="145">
        <v>3073321297.45</v>
      </c>
      <c r="C11" s="127">
        <f t="shared" si="0"/>
        <v>0.04396279679943984</v>
      </c>
      <c r="E11" s="35">
        <f>SUM(E9:E10)</f>
        <v>0</v>
      </c>
    </row>
    <row r="12" spans="1:3" ht="12.75">
      <c r="A12" s="125" t="s">
        <v>157</v>
      </c>
      <c r="B12" s="145">
        <v>0</v>
      </c>
      <c r="C12" s="127">
        <f t="shared" si="0"/>
        <v>0</v>
      </c>
    </row>
    <row r="13" spans="1:3" ht="12.75">
      <c r="A13" s="125" t="s">
        <v>82</v>
      </c>
      <c r="B13" s="145">
        <v>5109949943.44</v>
      </c>
      <c r="C13" s="127">
        <f t="shared" si="0"/>
        <v>0.07309606424982536</v>
      </c>
    </row>
    <row r="14" spans="1:3" ht="12.75">
      <c r="A14" s="125" t="s">
        <v>73</v>
      </c>
      <c r="B14" s="145">
        <v>12359438791.16</v>
      </c>
      <c r="C14" s="127">
        <f t="shared" si="0"/>
        <v>0.1767974915547278</v>
      </c>
    </row>
    <row r="15" spans="1:3" ht="13.5" customHeight="1">
      <c r="A15" s="125" t="s">
        <v>223</v>
      </c>
      <c r="B15" s="145">
        <v>3033162065.74</v>
      </c>
      <c r="C15" s="127">
        <f t="shared" si="0"/>
        <v>0.04338833289787731</v>
      </c>
    </row>
    <row r="16" spans="1:3" ht="12.75">
      <c r="A16" s="125" t="s">
        <v>224</v>
      </c>
      <c r="B16" s="145">
        <v>1941737396.06</v>
      </c>
      <c r="C16" s="127">
        <f t="shared" si="0"/>
        <v>0.027775880983120026</v>
      </c>
    </row>
    <row r="17" spans="1:3" ht="12.75">
      <c r="A17" s="125" t="s">
        <v>225</v>
      </c>
      <c r="B17" s="145">
        <v>2060779850.51</v>
      </c>
      <c r="C17" s="127">
        <f t="shared" si="0"/>
        <v>0.02947874206693649</v>
      </c>
    </row>
    <row r="18" spans="1:3" ht="13.5" thickBot="1">
      <c r="A18" s="174" t="s">
        <v>226</v>
      </c>
      <c r="B18" s="145">
        <v>2761655484.95</v>
      </c>
      <c r="C18" s="127">
        <f t="shared" si="0"/>
        <v>0.0395045252885378</v>
      </c>
    </row>
    <row r="19" spans="1:5" s="2" customFormat="1" ht="13.5" thickBot="1">
      <c r="A19" s="141" t="s">
        <v>24</v>
      </c>
      <c r="B19" s="142">
        <f>SUM(B8:B18)</f>
        <v>37636745915.56</v>
      </c>
      <c r="C19" s="181">
        <f>SUM(C8:C18)</f>
        <v>0.5383806158668741</v>
      </c>
      <c r="E19" s="182"/>
    </row>
    <row r="20" ht="13.5" thickBot="1"/>
    <row r="21" spans="1:3" ht="13.5" thickBot="1">
      <c r="A21" s="138" t="s">
        <v>86</v>
      </c>
      <c r="B21" s="139"/>
      <c r="C21" s="137">
        <f>+B21/$B$39</f>
        <v>0</v>
      </c>
    </row>
    <row r="22" spans="1:3" ht="12.75" hidden="1">
      <c r="A22" s="174" t="s">
        <v>227</v>
      </c>
      <c r="B22" s="128"/>
      <c r="C22" s="127">
        <f>+B22/$B$39</f>
        <v>0</v>
      </c>
    </row>
    <row r="23" spans="1:3" ht="13.5" hidden="1" thickBot="1">
      <c r="A23" s="174" t="s">
        <v>84</v>
      </c>
      <c r="B23" s="128"/>
      <c r="C23" s="127">
        <f>+B23/$B$39</f>
        <v>0</v>
      </c>
    </row>
    <row r="24" spans="1:3" ht="13.5" hidden="1" thickBot="1">
      <c r="A24" s="129" t="s">
        <v>85</v>
      </c>
      <c r="B24" s="130"/>
      <c r="C24" s="131">
        <f>+B24/$B$39</f>
        <v>0</v>
      </c>
    </row>
    <row r="25" spans="1:3" ht="13.5" thickBot="1">
      <c r="A25" s="141" t="s">
        <v>30</v>
      </c>
      <c r="B25" s="153">
        <f>SUM(B21:B24)</f>
        <v>0</v>
      </c>
      <c r="C25" s="143">
        <f>SUM(C21:C24)</f>
        <v>0</v>
      </c>
    </row>
    <row r="26" ht="13.5" thickBot="1"/>
    <row r="27" spans="1:3" ht="12.75">
      <c r="A27" s="121" t="s">
        <v>228</v>
      </c>
      <c r="B27" s="122">
        <v>6964387139.32</v>
      </c>
      <c r="C27" s="123">
        <f>+B27/$B$39</f>
        <v>0.09962314610340166</v>
      </c>
    </row>
    <row r="28" spans="1:3" ht="12.75">
      <c r="A28" s="125" t="s">
        <v>89</v>
      </c>
      <c r="B28" s="128">
        <v>4335575128.71</v>
      </c>
      <c r="C28" s="127">
        <f>+B28/$B$39</f>
        <v>0.06201890070860185</v>
      </c>
    </row>
    <row r="29" spans="1:3" ht="12.75">
      <c r="A29" s="125" t="s">
        <v>160</v>
      </c>
      <c r="B29" s="128">
        <v>1028391197.76</v>
      </c>
      <c r="C29" s="127">
        <f>+B29/$B$39</f>
        <v>0.014710779928856745</v>
      </c>
    </row>
    <row r="30" spans="1:3" ht="13.5" thickBot="1">
      <c r="A30" s="146" t="s">
        <v>229</v>
      </c>
      <c r="B30" s="130">
        <v>1009931047.48</v>
      </c>
      <c r="C30" s="131">
        <f>+B30/$B$39</f>
        <v>0.014446713872268348</v>
      </c>
    </row>
    <row r="31" spans="1:3" ht="13.5" thickBot="1">
      <c r="A31" s="147" t="s">
        <v>92</v>
      </c>
      <c r="B31" s="133">
        <f>SUM(B27:B30)</f>
        <v>13338284513.269999</v>
      </c>
      <c r="C31" s="183">
        <f>SUM(C27:C30)</f>
        <v>0.1907995406131286</v>
      </c>
    </row>
    <row r="32" spans="1:3" ht="13.5" thickBot="1">
      <c r="A32" s="149"/>
      <c r="B32" s="150"/>
      <c r="C32" s="151"/>
    </row>
    <row r="33" spans="1:3" ht="13.5" thickBot="1">
      <c r="A33" s="152" t="s">
        <v>94</v>
      </c>
      <c r="B33" s="153">
        <v>18932289423.24</v>
      </c>
      <c r="C33" s="154">
        <f>B33/B39</f>
        <v>0.2708198435199974</v>
      </c>
    </row>
    <row r="34" spans="1:3" ht="13.5" hidden="1" thickBot="1">
      <c r="A34" s="149"/>
      <c r="B34" s="150"/>
      <c r="C34" s="151"/>
    </row>
    <row r="35" spans="1:3" ht="13.5" hidden="1" thickBot="1">
      <c r="A35" s="152" t="s">
        <v>93</v>
      </c>
      <c r="B35" s="153"/>
      <c r="C35" s="143">
        <f>B35/B39</f>
        <v>0</v>
      </c>
    </row>
    <row r="36" spans="1:3" ht="13.5" thickBot="1">
      <c r="A36" s="32"/>
      <c r="B36" s="31"/>
      <c r="C36" s="156"/>
    </row>
    <row r="37" spans="1:3" ht="13.5" thickBot="1">
      <c r="A37" s="138" t="s">
        <v>95</v>
      </c>
      <c r="B37" s="157">
        <v>0</v>
      </c>
      <c r="C37" s="158">
        <f>+B37/$B$39</f>
        <v>0</v>
      </c>
    </row>
    <row r="38" ht="13.5" thickBot="1"/>
    <row r="39" spans="1:5" ht="13.5" thickBot="1">
      <c r="A39" s="159" t="s">
        <v>41</v>
      </c>
      <c r="B39" s="160">
        <f>+B19+B25+B31+B37+B33</f>
        <v>69907319852.06999</v>
      </c>
      <c r="C39" s="161">
        <f>+C19+C25+C31+C33+C35+C36+C37</f>
        <v>1</v>
      </c>
      <c r="D39" s="1"/>
      <c r="E39"/>
    </row>
    <row r="41" ht="12.75">
      <c r="A41" s="116" t="s">
        <v>96</v>
      </c>
    </row>
    <row r="42" spans="2:5" ht="13.5" thickBot="1">
      <c r="B42" s="1"/>
      <c r="E42"/>
    </row>
    <row r="43" spans="1:3" ht="13.5" thickBot="1">
      <c r="A43" s="118" t="s">
        <v>43</v>
      </c>
      <c r="B43" s="118" t="s">
        <v>44</v>
      </c>
      <c r="C43" s="120" t="s">
        <v>45</v>
      </c>
    </row>
    <row r="44" ht="13.5" thickBot="1"/>
    <row r="45" spans="1:3" ht="12.75">
      <c r="A45" s="121" t="s">
        <v>18</v>
      </c>
      <c r="B45" s="184">
        <f>-E10</f>
        <v>39497642.23</v>
      </c>
      <c r="C45" s="123">
        <f>+B45/$B$48</f>
        <v>0.9666832202164013</v>
      </c>
    </row>
    <row r="46" spans="1:3" ht="13.5" thickBot="1">
      <c r="A46" s="146" t="s">
        <v>97</v>
      </c>
      <c r="B46" s="130">
        <v>1361287.98</v>
      </c>
      <c r="C46" s="131">
        <f>+B46/$B$48</f>
        <v>0.033316779783598746</v>
      </c>
    </row>
    <row r="47" spans="2:3" ht="13.5" thickBot="1">
      <c r="B47" s="35"/>
      <c r="C47" s="162"/>
    </row>
    <row r="48" spans="1:5" ht="13.5" thickBot="1">
      <c r="A48" s="163" t="s">
        <v>41</v>
      </c>
      <c r="B48" s="157">
        <f>SUM(B45:B47)</f>
        <v>40858930.20999999</v>
      </c>
      <c r="C48" s="158">
        <f>SUM(C45:C47)</f>
        <v>1</v>
      </c>
      <c r="E48" s="35">
        <f>B39+B48</f>
        <v>69948178782.28</v>
      </c>
    </row>
    <row r="49" ht="12.75">
      <c r="B49" s="1"/>
    </row>
    <row r="50" ht="12.75">
      <c r="B50" s="117" t="s">
        <v>50</v>
      </c>
    </row>
    <row r="51" ht="13.5" thickBot="1">
      <c r="B51" s="164"/>
    </row>
    <row r="52" spans="1:5" ht="13.5" thickBot="1">
      <c r="A52" s="165" t="s">
        <v>51</v>
      </c>
      <c r="B52" s="166" t="s">
        <v>98</v>
      </c>
      <c r="C52" s="167" t="s">
        <v>5</v>
      </c>
      <c r="D52" t="s">
        <v>100</v>
      </c>
      <c r="E52" s="35">
        <v>539602547.92</v>
      </c>
    </row>
    <row r="53" spans="1:5" ht="12.75">
      <c r="A53" s="121" t="s">
        <v>99</v>
      </c>
      <c r="B53" s="122">
        <v>0</v>
      </c>
      <c r="C53" s="123">
        <f>B53/$B$58</f>
        <v>0</v>
      </c>
      <c r="E53" s="35">
        <v>4048034529.23</v>
      </c>
    </row>
    <row r="54" spans="1:5" ht="12.75">
      <c r="A54" s="125" t="s">
        <v>55</v>
      </c>
      <c r="B54" s="128">
        <f>E58</f>
        <v>18932289423.239998</v>
      </c>
      <c r="C54" s="127">
        <f>B54/$B$58</f>
        <v>0.27081984351999727</v>
      </c>
      <c r="E54" s="35">
        <v>1270608067.64</v>
      </c>
    </row>
    <row r="55" spans="1:5" ht="12.75">
      <c r="A55" s="125" t="s">
        <v>52</v>
      </c>
      <c r="B55" s="128">
        <f>E65</f>
        <v>44010643289.51</v>
      </c>
      <c r="C55" s="127">
        <f>B55/$B$58</f>
        <v>0.629557010376601</v>
      </c>
      <c r="E55" s="35">
        <v>9461976643.65</v>
      </c>
    </row>
    <row r="56" spans="1:5" ht="12.75">
      <c r="A56" s="125" t="s">
        <v>56</v>
      </c>
      <c r="B56" s="128">
        <v>0</v>
      </c>
      <c r="C56" s="127">
        <f>B56/$B$58</f>
        <v>0</v>
      </c>
      <c r="E56" s="35">
        <v>2510602600.47</v>
      </c>
    </row>
    <row r="57" spans="1:5" ht="13.5" thickBot="1">
      <c r="A57" s="146" t="s">
        <v>54</v>
      </c>
      <c r="B57" s="185">
        <v>6964387139.32</v>
      </c>
      <c r="C57" s="131">
        <f>B57/$B$58</f>
        <v>0.09962314610340163</v>
      </c>
      <c r="E57" s="35">
        <v>1101465034.33</v>
      </c>
    </row>
    <row r="58" spans="1:5" ht="13.5" thickBot="1">
      <c r="A58" s="118" t="s">
        <v>49</v>
      </c>
      <c r="B58" s="211">
        <f>SUM(B53:B57)</f>
        <v>69907319852.07</v>
      </c>
      <c r="C58" s="212">
        <f>SUM(C53:C57)</f>
        <v>0.9999999999999998</v>
      </c>
      <c r="E58" s="182">
        <f>SUM(E52:E57)</f>
        <v>18932289423.239998</v>
      </c>
    </row>
    <row r="59" spans="2:3" ht="12.75">
      <c r="B59" s="1"/>
      <c r="C59" s="172"/>
    </row>
    <row r="60" spans="2:5" ht="12.75">
      <c r="B60" s="2" t="s">
        <v>57</v>
      </c>
      <c r="C60" s="172"/>
      <c r="E60"/>
    </row>
    <row r="61" ht="13.5" thickBot="1">
      <c r="C61" s="172"/>
    </row>
    <row r="62" spans="1:5" ht="13.5" thickBot="1">
      <c r="A62" s="118" t="s">
        <v>103</v>
      </c>
      <c r="B62" s="119" t="s">
        <v>71</v>
      </c>
      <c r="C62" s="120" t="s">
        <v>5</v>
      </c>
      <c r="D62" t="s">
        <v>102</v>
      </c>
      <c r="E62" s="35">
        <v>24282467303.9</v>
      </c>
    </row>
    <row r="63" spans="3:5" ht="13.5" thickBot="1">
      <c r="C63" s="172"/>
      <c r="E63" s="35">
        <v>16695013919.87</v>
      </c>
    </row>
    <row r="64" spans="1:5" ht="12.75">
      <c r="A64" s="121" t="s">
        <v>104</v>
      </c>
      <c r="B64" s="122">
        <v>0</v>
      </c>
      <c r="C64" s="123">
        <f>+B64/B77</f>
        <v>0</v>
      </c>
      <c r="E64" s="35">
        <v>3033162065.74</v>
      </c>
    </row>
    <row r="65" spans="1:5" ht="12.75">
      <c r="A65" s="125" t="s">
        <v>105</v>
      </c>
      <c r="B65" s="128">
        <v>0</v>
      </c>
      <c r="C65" s="127">
        <f>+B65/B77</f>
        <v>0</v>
      </c>
      <c r="E65" s="182">
        <f>SUM(E62:E64)</f>
        <v>44010643289.51</v>
      </c>
    </row>
    <row r="66" spans="1:3" ht="12.75">
      <c r="A66" s="125" t="s">
        <v>106</v>
      </c>
      <c r="B66" s="128">
        <v>24203418907.89</v>
      </c>
      <c r="C66" s="127">
        <f>+B66/B77</f>
        <v>0.34601928640951923</v>
      </c>
    </row>
    <row r="67" spans="1:5" ht="12.75">
      <c r="A67" s="125" t="s">
        <v>107</v>
      </c>
      <c r="B67" s="128">
        <v>11403714039.74</v>
      </c>
      <c r="C67" s="127">
        <f>+B67/B77</f>
        <v>0.1630308928447599</v>
      </c>
      <c r="E67" s="35">
        <f>B58-B39</f>
        <v>0</v>
      </c>
    </row>
    <row r="68" spans="1:3" ht="12.75">
      <c r="A68" s="174" t="s">
        <v>108</v>
      </c>
      <c r="B68" s="128">
        <v>24472233800.22</v>
      </c>
      <c r="C68" s="127">
        <f>+B68/B77</f>
        <v>0.3498623441847147</v>
      </c>
    </row>
    <row r="69" spans="1:3" ht="12.75">
      <c r="A69" s="174" t="s">
        <v>230</v>
      </c>
      <c r="B69" s="128">
        <v>6046742436.1</v>
      </c>
      <c r="C69" s="127">
        <f>+B69/B77</f>
        <v>0.0864460310670994</v>
      </c>
    </row>
    <row r="70" spans="1:3" ht="12.75">
      <c r="A70" s="125" t="s">
        <v>231</v>
      </c>
      <c r="B70" s="128">
        <v>3781210668.12</v>
      </c>
      <c r="C70" s="127">
        <f>+B70/B77</f>
        <v>0.054057314056586925</v>
      </c>
    </row>
    <row r="71" spans="1:3" ht="12.75">
      <c r="A71" s="125" t="s">
        <v>232</v>
      </c>
      <c r="B71" s="128">
        <v>0</v>
      </c>
      <c r="C71" s="127">
        <f>+B71/B77</f>
        <v>0</v>
      </c>
    </row>
    <row r="72" spans="1:3" ht="13.5" thickBot="1">
      <c r="A72" s="146" t="s">
        <v>233</v>
      </c>
      <c r="B72" s="130"/>
      <c r="C72" s="131">
        <f>+B72/B77</f>
        <v>0</v>
      </c>
    </row>
    <row r="73" spans="1:3" ht="13.5" thickBot="1">
      <c r="A73" s="213" t="s">
        <v>113</v>
      </c>
      <c r="B73" s="214">
        <f>SUM(B64:B72)</f>
        <v>69907319852.06999</v>
      </c>
      <c r="C73" s="215">
        <f>SUM(C64:C72)</f>
        <v>0.9994158685626802</v>
      </c>
    </row>
    <row r="74" spans="1:3" ht="13.5" thickBot="1">
      <c r="A74" s="176"/>
      <c r="B74" s="177"/>
      <c r="C74" s="178"/>
    </row>
    <row r="75" spans="1:3" ht="13.5" thickBot="1">
      <c r="A75" s="179" t="s">
        <v>234</v>
      </c>
      <c r="B75" s="180">
        <f>B48</f>
        <v>40858930.20999999</v>
      </c>
      <c r="C75" s="158">
        <f>+B75/B77</f>
        <v>0.0005841314373198635</v>
      </c>
    </row>
    <row r="76" spans="1:3" ht="13.5" thickBot="1">
      <c r="A76" s="176"/>
      <c r="B76" s="177"/>
      <c r="C76" s="178"/>
    </row>
    <row r="77" spans="1:3" ht="13.5" thickBot="1">
      <c r="A77" s="186" t="s">
        <v>49</v>
      </c>
      <c r="B77" s="142">
        <f>+B75+B73</f>
        <v>69948178782.28</v>
      </c>
      <c r="C77" s="143">
        <f>+C75+C73</f>
        <v>1</v>
      </c>
    </row>
    <row r="79" spans="1:3" ht="12.75">
      <c r="A79" s="3"/>
      <c r="B79" s="216"/>
      <c r="C79" s="3"/>
    </row>
    <row r="80" ht="12.75">
      <c r="B80" s="1"/>
    </row>
    <row r="81" ht="12.75">
      <c r="B81" s="1"/>
    </row>
  </sheetData>
  <sheetProtection/>
  <printOptions horizontalCentered="1" verticalCentered="1"/>
  <pageMargins left="0.7874015748031497" right="0.7874015748031497" top="0.3937007874015748" bottom="0.3937007874015748" header="0.3937007874015748" footer="0.5118110236220472"/>
  <pageSetup fitToHeight="1" fitToWidth="1" horizontalDpi="120" verticalDpi="12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ANONIMA FIDUCIARIA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FIDUCOLOMBIA S.A.</dc:creator>
  <cp:keywords/>
  <dc:description/>
  <cp:lastModifiedBy>Mirtha Liliana Ramirez Palma</cp:lastModifiedBy>
  <cp:lastPrinted>2013-04-11T16:40:05Z</cp:lastPrinted>
  <dcterms:created xsi:type="dcterms:W3CDTF">1999-01-12T23:09:55Z</dcterms:created>
  <dcterms:modified xsi:type="dcterms:W3CDTF">2024-04-25T12:54:24Z</dcterms:modified>
  <cp:category/>
  <cp:version/>
  <cp:contentType/>
  <cp:contentStatus/>
</cp:coreProperties>
</file>